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СИЯ 2023\"/>
    </mc:Choice>
  </mc:AlternateContent>
  <bookViews>
    <workbookView xWindow="-4935" yWindow="4140" windowWidth="17520" windowHeight="7365"/>
  </bookViews>
  <sheets>
    <sheet name="20.10.2023" sheetId="17" r:id="rId1"/>
    <sheet name="25.08.2023" sheetId="16" r:id="rId2"/>
    <sheet name="Сентябрь" sheetId="15" r:id="rId3"/>
    <sheet name="Август" sheetId="14" r:id="rId4"/>
    <sheet name="Июнь" sheetId="13" r:id="rId5"/>
    <sheet name="Апрель" sheetId="12" r:id="rId6"/>
    <sheet name="Февраль" sheetId="11" r:id="rId7"/>
    <sheet name="Январь" sheetId="10" r:id="rId8"/>
  </sheets>
  <definedNames>
    <definedName name="_xlnm.Print_Area" localSheetId="0">'20.10.2023'!$L$113:$M$120</definedName>
    <definedName name="_xlnm.Print_Area" localSheetId="1">'25.08.2023'!$L$113:$M$120</definedName>
    <definedName name="_xlnm.Print_Area" localSheetId="3">Август!$L$114:$M$121</definedName>
    <definedName name="_xlnm.Print_Area" localSheetId="5">Апрель!$L$114:$M$121</definedName>
    <definedName name="_xlnm.Print_Area" localSheetId="4">Июнь!$L$114:$M$121</definedName>
    <definedName name="_xlnm.Print_Area" localSheetId="2">Сентябрь!$L$113:$M$120</definedName>
    <definedName name="_xlnm.Print_Area" localSheetId="6">Февраль!$L$114:$M$121</definedName>
    <definedName name="_xlnm.Print_Area" localSheetId="7">Январь!$L$114:$M$121</definedName>
  </definedNames>
  <calcPr calcId="162913" iterate="1"/>
</workbook>
</file>

<file path=xl/calcChain.xml><?xml version="1.0" encoding="utf-8"?>
<calcChain xmlns="http://schemas.openxmlformats.org/spreadsheetml/2006/main">
  <c r="F128" i="17" l="1"/>
  <c r="F110" i="17"/>
  <c r="F111" i="17" s="1"/>
  <c r="F49" i="17"/>
  <c r="F90" i="17"/>
  <c r="F88" i="17"/>
  <c r="F87" i="17"/>
  <c r="F86" i="17"/>
  <c r="F85" i="17"/>
  <c r="F65" i="17"/>
  <c r="F68" i="17"/>
  <c r="F52" i="17"/>
  <c r="F50" i="17"/>
  <c r="F35" i="17"/>
  <c r="F31" i="17"/>
  <c r="F29" i="17"/>
  <c r="H136" i="17"/>
  <c r="G136" i="17"/>
  <c r="F136" i="17"/>
  <c r="I135" i="17"/>
  <c r="I130" i="17"/>
  <c r="K128" i="17"/>
  <c r="H127" i="17"/>
  <c r="G127" i="17"/>
  <c r="F127" i="17"/>
  <c r="I126" i="17"/>
  <c r="H124" i="17"/>
  <c r="G124" i="17"/>
  <c r="F124" i="17"/>
  <c r="I123" i="17"/>
  <c r="K110" i="17"/>
  <c r="F108" i="17"/>
  <c r="H98" i="17"/>
  <c r="G98" i="17"/>
  <c r="F98" i="17"/>
  <c r="H94" i="17"/>
  <c r="G94" i="17"/>
  <c r="F94" i="17"/>
  <c r="H91" i="17"/>
  <c r="G91" i="17"/>
  <c r="G78" i="17" s="1"/>
  <c r="F91" i="17"/>
  <c r="K90" i="17"/>
  <c r="I90" i="17"/>
  <c r="F89" i="17"/>
  <c r="H89" i="17"/>
  <c r="G89" i="17"/>
  <c r="K88" i="17"/>
  <c r="H88" i="17"/>
  <c r="G88" i="17"/>
  <c r="H87" i="17"/>
  <c r="H81" i="17" s="1"/>
  <c r="H78" i="17" s="1"/>
  <c r="K86" i="17"/>
  <c r="G86" i="17"/>
  <c r="K85" i="17"/>
  <c r="H85" i="17"/>
  <c r="G85" i="17"/>
  <c r="F84" i="17"/>
  <c r="F81" i="17" s="1"/>
  <c r="F78" i="17" s="1"/>
  <c r="G81" i="17"/>
  <c r="H76" i="17"/>
  <c r="G76" i="17"/>
  <c r="F76" i="17"/>
  <c r="H69" i="17"/>
  <c r="G69" i="17"/>
  <c r="F69" i="17"/>
  <c r="H65" i="17"/>
  <c r="G65" i="17"/>
  <c r="F60" i="17"/>
  <c r="H59" i="17"/>
  <c r="H58" i="17" s="1"/>
  <c r="G59" i="17"/>
  <c r="G58" i="17" s="1"/>
  <c r="F59" i="17"/>
  <c r="F58" i="17"/>
  <c r="H55" i="17"/>
  <c r="G55" i="17"/>
  <c r="F55" i="17"/>
  <c r="K52" i="17"/>
  <c r="H52" i="17"/>
  <c r="G52" i="17"/>
  <c r="K49" i="17"/>
  <c r="H49" i="17"/>
  <c r="G49" i="17"/>
  <c r="H48" i="17"/>
  <c r="G48" i="17"/>
  <c r="F37" i="17"/>
  <c r="F34" i="17"/>
  <c r="H34" i="17"/>
  <c r="H119" i="17" s="1"/>
  <c r="G34" i="17"/>
  <c r="G119" i="17" s="1"/>
  <c r="H33" i="17"/>
  <c r="G33" i="17"/>
  <c r="K31" i="17"/>
  <c r="H29" i="17"/>
  <c r="G29" i="17"/>
  <c r="I28" i="17"/>
  <c r="I26" i="17" s="1"/>
  <c r="H28" i="17"/>
  <c r="G28" i="17"/>
  <c r="H26" i="17"/>
  <c r="G26" i="17"/>
  <c r="F24" i="17"/>
  <c r="F48" i="17" l="1"/>
  <c r="F47" i="17"/>
  <c r="F28" i="17"/>
  <c r="G118" i="17"/>
  <c r="G120" i="17"/>
  <c r="G47" i="17"/>
  <c r="G25" i="17" s="1"/>
  <c r="G116" i="17"/>
  <c r="G115" i="17" s="1"/>
  <c r="G114" i="17" s="1"/>
  <c r="H116" i="17"/>
  <c r="H115" i="17" s="1"/>
  <c r="H114" i="17" s="1"/>
  <c r="H118" i="17"/>
  <c r="H120" i="17"/>
  <c r="F119" i="17"/>
  <c r="F33" i="17"/>
  <c r="F26" i="17" s="1"/>
  <c r="H47" i="17"/>
  <c r="H25" i="17" s="1"/>
  <c r="F110" i="16"/>
  <c r="K110" i="16"/>
  <c r="F90" i="16"/>
  <c r="F89" i="16" s="1"/>
  <c r="K128" i="16"/>
  <c r="F87" i="16"/>
  <c r="F25" i="17" l="1"/>
  <c r="H135" i="17"/>
  <c r="H131" i="17" s="1"/>
  <c r="H107" i="17"/>
  <c r="F118" i="17"/>
  <c r="F116" i="17" s="1"/>
  <c r="F115" i="17" s="1"/>
  <c r="F114" i="17" s="1"/>
  <c r="F120" i="17"/>
  <c r="G107" i="17"/>
  <c r="G134" i="17"/>
  <c r="G131" i="17" s="1"/>
  <c r="F68" i="16"/>
  <c r="K86" i="16"/>
  <c r="K85" i="16"/>
  <c r="F49" i="16"/>
  <c r="K49" i="16"/>
  <c r="F66" i="16"/>
  <c r="K90" i="16"/>
  <c r="F88" i="16"/>
  <c r="K88" i="16"/>
  <c r="K52" i="16"/>
  <c r="F31" i="16"/>
  <c r="F28" i="16" s="1"/>
  <c r="F29" i="16"/>
  <c r="K31" i="16"/>
  <c r="F133" i="17" l="1"/>
  <c r="F131" i="17" s="1"/>
  <c r="F107" i="17"/>
  <c r="F86" i="16"/>
  <c r="F85" i="16"/>
  <c r="F52" i="16" l="1"/>
  <c r="H136" i="16"/>
  <c r="G136" i="16"/>
  <c r="F136" i="16"/>
  <c r="I135" i="16"/>
  <c r="I130" i="16"/>
  <c r="F128" i="16"/>
  <c r="F127" i="16" s="1"/>
  <c r="H127" i="16"/>
  <c r="G127" i="16"/>
  <c r="I126" i="16"/>
  <c r="H124" i="16"/>
  <c r="G124" i="16"/>
  <c r="F124" i="16"/>
  <c r="I123" i="16"/>
  <c r="F111" i="16"/>
  <c r="F108" i="16"/>
  <c r="H98" i="16"/>
  <c r="G98" i="16"/>
  <c r="F98" i="16"/>
  <c r="F95" i="16"/>
  <c r="F94" i="16" s="1"/>
  <c r="H94" i="16"/>
  <c r="G94" i="16"/>
  <c r="H91" i="16"/>
  <c r="G91" i="16"/>
  <c r="F91" i="16"/>
  <c r="I90" i="16"/>
  <c r="H89" i="16"/>
  <c r="G89" i="16"/>
  <c r="H88" i="16"/>
  <c r="G88" i="16"/>
  <c r="H87" i="16"/>
  <c r="G86" i="16"/>
  <c r="H85" i="16"/>
  <c r="G85" i="16"/>
  <c r="F84" i="16"/>
  <c r="F81" i="16" s="1"/>
  <c r="F78" i="16" s="1"/>
  <c r="H76" i="16"/>
  <c r="G76" i="16"/>
  <c r="F76" i="16"/>
  <c r="H69" i="16"/>
  <c r="G69" i="16"/>
  <c r="F69" i="16"/>
  <c r="F65" i="16"/>
  <c r="H65" i="16"/>
  <c r="G65" i="16"/>
  <c r="F60" i="16"/>
  <c r="F59" i="16" s="1"/>
  <c r="F58" i="16" s="1"/>
  <c r="H59" i="16"/>
  <c r="H58" i="16" s="1"/>
  <c r="G59" i="16"/>
  <c r="G58" i="16" s="1"/>
  <c r="H55" i="16"/>
  <c r="G55" i="16"/>
  <c r="F55" i="16"/>
  <c r="H52" i="16"/>
  <c r="G52" i="16"/>
  <c r="H49" i="16"/>
  <c r="H48" i="16" s="1"/>
  <c r="G49" i="16"/>
  <c r="F39" i="16"/>
  <c r="F37" i="16"/>
  <c r="F35" i="16"/>
  <c r="F34" i="16" s="1"/>
  <c r="F119" i="16" s="1"/>
  <c r="H34" i="16"/>
  <c r="H33" i="16" s="1"/>
  <c r="G34" i="16"/>
  <c r="G119" i="16" s="1"/>
  <c r="G33" i="16"/>
  <c r="H29" i="16"/>
  <c r="H28" i="16" s="1"/>
  <c r="H26" i="16" s="1"/>
  <c r="G29" i="16"/>
  <c r="I28" i="16"/>
  <c r="I26" i="16" s="1"/>
  <c r="G28" i="16"/>
  <c r="G26" i="16" s="1"/>
  <c r="F24" i="16"/>
  <c r="F118" i="16" l="1"/>
  <c r="F120" i="16"/>
  <c r="G48" i="16"/>
  <c r="G47" i="16" s="1"/>
  <c r="G25" i="16" s="1"/>
  <c r="F47" i="16"/>
  <c r="G81" i="16"/>
  <c r="G78" i="16" s="1"/>
  <c r="F116" i="16"/>
  <c r="F115" i="16" s="1"/>
  <c r="F114" i="16" s="1"/>
  <c r="F133" i="16" s="1"/>
  <c r="F131" i="16" s="1"/>
  <c r="H81" i="16"/>
  <c r="H78" i="16" s="1"/>
  <c r="H47" i="16"/>
  <c r="H25" i="16" s="1"/>
  <c r="F48" i="16"/>
  <c r="G118" i="16"/>
  <c r="G116" i="16" s="1"/>
  <c r="G115" i="16" s="1"/>
  <c r="G114" i="16" s="1"/>
  <c r="G120" i="16"/>
  <c r="H119" i="16"/>
  <c r="F33" i="16"/>
  <c r="H136" i="15"/>
  <c r="G136" i="15"/>
  <c r="F136" i="15"/>
  <c r="I135" i="15"/>
  <c r="I130" i="15"/>
  <c r="F128" i="15"/>
  <c r="F127" i="15" s="1"/>
  <c r="H127" i="15"/>
  <c r="G127" i="15"/>
  <c r="I126" i="15"/>
  <c r="H124" i="15"/>
  <c r="G124" i="15"/>
  <c r="F124" i="15"/>
  <c r="I123" i="15"/>
  <c r="F110" i="15"/>
  <c r="F108" i="15"/>
  <c r="H98" i="15"/>
  <c r="G98" i="15"/>
  <c r="F98" i="15"/>
  <c r="F95" i="15"/>
  <c r="F94" i="15" s="1"/>
  <c r="H94" i="15"/>
  <c r="G94" i="15"/>
  <c r="H91" i="15"/>
  <c r="G91" i="15"/>
  <c r="F91" i="15"/>
  <c r="I90" i="15"/>
  <c r="F90" i="15"/>
  <c r="F89" i="15" s="1"/>
  <c r="H89" i="15"/>
  <c r="G89" i="15"/>
  <c r="H88" i="15"/>
  <c r="G88" i="15"/>
  <c r="F88" i="15"/>
  <c r="H87" i="15"/>
  <c r="F87" i="15"/>
  <c r="G86" i="15"/>
  <c r="F86" i="15"/>
  <c r="H85" i="15"/>
  <c r="G85" i="15"/>
  <c r="G81" i="15" s="1"/>
  <c r="G78" i="15" s="1"/>
  <c r="F85" i="15"/>
  <c r="F84" i="15"/>
  <c r="H76" i="15"/>
  <c r="G76" i="15"/>
  <c r="F76" i="15"/>
  <c r="H69" i="15"/>
  <c r="G69" i="15"/>
  <c r="F69" i="15"/>
  <c r="F68" i="15"/>
  <c r="F66" i="15"/>
  <c r="H65" i="15"/>
  <c r="G65" i="15"/>
  <c r="F60" i="15"/>
  <c r="F59" i="15" s="1"/>
  <c r="F58" i="15" s="1"/>
  <c r="H59" i="15"/>
  <c r="H58" i="15" s="1"/>
  <c r="G59" i="15"/>
  <c r="G58" i="15" s="1"/>
  <c r="H55" i="15"/>
  <c r="G55" i="15"/>
  <c r="F55" i="15"/>
  <c r="H52" i="15"/>
  <c r="G52" i="15"/>
  <c r="F52" i="15"/>
  <c r="H49" i="15"/>
  <c r="G49" i="15"/>
  <c r="F49" i="15"/>
  <c r="F48" i="15" s="1"/>
  <c r="F39" i="15"/>
  <c r="F37" i="15"/>
  <c r="F35" i="15"/>
  <c r="F34" i="15" s="1"/>
  <c r="F119" i="15" s="1"/>
  <c r="H34" i="15"/>
  <c r="H33" i="15" s="1"/>
  <c r="G34" i="15"/>
  <c r="G119" i="15" s="1"/>
  <c r="F31" i="15"/>
  <c r="H29" i="15"/>
  <c r="H28" i="15" s="1"/>
  <c r="H26" i="15" s="1"/>
  <c r="G29" i="15"/>
  <c r="G28" i="15" s="1"/>
  <c r="F29" i="15"/>
  <c r="I28" i="15"/>
  <c r="I26" i="15" s="1"/>
  <c r="F24" i="15"/>
  <c r="F28" i="15" l="1"/>
  <c r="H81" i="15"/>
  <c r="H78" i="15" s="1"/>
  <c r="F26" i="16"/>
  <c r="F25" i="16" s="1"/>
  <c r="F107" i="16"/>
  <c r="G107" i="16"/>
  <c r="G134" i="16"/>
  <c r="G131" i="16" s="1"/>
  <c r="H118" i="16"/>
  <c r="H116" i="16" s="1"/>
  <c r="H115" i="16" s="1"/>
  <c r="H114" i="16" s="1"/>
  <c r="H120" i="16"/>
  <c r="F65" i="15"/>
  <c r="H119" i="15"/>
  <c r="H120" i="15" s="1"/>
  <c r="G48" i="15"/>
  <c r="G47" i="15" s="1"/>
  <c r="F81" i="15"/>
  <c r="F78" i="15" s="1"/>
  <c r="H48" i="15"/>
  <c r="H47" i="15" s="1"/>
  <c r="H25" i="15" s="1"/>
  <c r="F120" i="15"/>
  <c r="F118" i="15"/>
  <c r="G120" i="15"/>
  <c r="G118" i="15"/>
  <c r="G116" i="15" s="1"/>
  <c r="G115" i="15" s="1"/>
  <c r="G114" i="15" s="1"/>
  <c r="F111" i="15"/>
  <c r="H118" i="15"/>
  <c r="H116" i="15" s="1"/>
  <c r="H115" i="15" s="1"/>
  <c r="H114" i="15" s="1"/>
  <c r="F33" i="15"/>
  <c r="F26" i="15" s="1"/>
  <c r="G33" i="15"/>
  <c r="G26" i="15" s="1"/>
  <c r="F111" i="14"/>
  <c r="F91" i="14"/>
  <c r="F116" i="15" l="1"/>
  <c r="F115" i="15" s="1"/>
  <c r="F114" i="15" s="1"/>
  <c r="F47" i="15"/>
  <c r="F25" i="15" s="1"/>
  <c r="H107" i="16"/>
  <c r="H135" i="16"/>
  <c r="H131" i="16" s="1"/>
  <c r="G25" i="15"/>
  <c r="F133" i="15"/>
  <c r="F131" i="15" s="1"/>
  <c r="F107" i="15"/>
  <c r="G107" i="15"/>
  <c r="G134" i="15"/>
  <c r="G131" i="15" s="1"/>
  <c r="H107" i="15"/>
  <c r="H135" i="15"/>
  <c r="H131" i="15" s="1"/>
  <c r="F61" i="14"/>
  <c r="F38" i="14"/>
  <c r="M115" i="14"/>
  <c r="M116" i="14"/>
  <c r="M118" i="14" s="1"/>
  <c r="M117" i="14"/>
  <c r="M119" i="14"/>
  <c r="F109" i="14" l="1"/>
  <c r="M120" i="14" s="1"/>
  <c r="F87" i="14"/>
  <c r="F129" i="14" l="1"/>
  <c r="F69" i="14"/>
  <c r="F89" i="14"/>
  <c r="F88" i="14"/>
  <c r="F86" i="14"/>
  <c r="F85" i="14"/>
  <c r="F30" i="14"/>
  <c r="F96" i="14" l="1"/>
  <c r="F95" i="14" s="1"/>
  <c r="F32" i="14"/>
  <c r="H137" i="14"/>
  <c r="G137" i="14"/>
  <c r="F137" i="14"/>
  <c r="I136" i="14"/>
  <c r="I131" i="14"/>
  <c r="F128" i="14"/>
  <c r="H128" i="14"/>
  <c r="G128" i="14"/>
  <c r="I127" i="14"/>
  <c r="H125" i="14"/>
  <c r="G125" i="14"/>
  <c r="F125" i="14"/>
  <c r="I124" i="14"/>
  <c r="F112" i="14"/>
  <c r="H99" i="14"/>
  <c r="G99" i="14"/>
  <c r="F99" i="14"/>
  <c r="H95" i="14"/>
  <c r="G95" i="14"/>
  <c r="H92" i="14"/>
  <c r="G92" i="14"/>
  <c r="F92" i="14"/>
  <c r="I91" i="14"/>
  <c r="H90" i="14"/>
  <c r="G90" i="14"/>
  <c r="F90" i="14"/>
  <c r="H89" i="14"/>
  <c r="G89" i="14"/>
  <c r="H88" i="14"/>
  <c r="G87" i="14"/>
  <c r="H86" i="14"/>
  <c r="G86" i="14"/>
  <c r="F82" i="14"/>
  <c r="H77" i="14"/>
  <c r="G77" i="14"/>
  <c r="F77" i="14"/>
  <c r="H70" i="14"/>
  <c r="G70" i="14"/>
  <c r="F70" i="14"/>
  <c r="F67" i="14"/>
  <c r="F66" i="14" s="1"/>
  <c r="H66" i="14"/>
  <c r="G66" i="14"/>
  <c r="H60" i="14"/>
  <c r="G60" i="14"/>
  <c r="F60" i="14"/>
  <c r="F59" i="14" s="1"/>
  <c r="H59" i="14"/>
  <c r="G59" i="14"/>
  <c r="H56" i="14"/>
  <c r="G56" i="14"/>
  <c r="G49" i="14" s="1"/>
  <c r="F56" i="14"/>
  <c r="H53" i="14"/>
  <c r="G53" i="14"/>
  <c r="F53" i="14"/>
  <c r="H50" i="14"/>
  <c r="H49" i="14" s="1"/>
  <c r="G50" i="14"/>
  <c r="F50" i="14"/>
  <c r="F40" i="14"/>
  <c r="F36" i="14"/>
  <c r="H35" i="14"/>
  <c r="H120" i="14" s="1"/>
  <c r="G35" i="14"/>
  <c r="G120" i="14" s="1"/>
  <c r="G34" i="14"/>
  <c r="H30" i="14"/>
  <c r="H29" i="14" s="1"/>
  <c r="H27" i="14" s="1"/>
  <c r="G30" i="14"/>
  <c r="G29" i="14" s="1"/>
  <c r="I29" i="14"/>
  <c r="I27" i="14" s="1"/>
  <c r="F25" i="14"/>
  <c r="G27" i="14" l="1"/>
  <c r="F49" i="14"/>
  <c r="G82" i="14"/>
  <c r="G79" i="14" s="1"/>
  <c r="G48" i="14" s="1"/>
  <c r="F35" i="14"/>
  <c r="F34" i="14" s="1"/>
  <c r="H82" i="14"/>
  <c r="H79" i="14" s="1"/>
  <c r="H48" i="14" s="1"/>
  <c r="H26" i="14" s="1"/>
  <c r="F79" i="14"/>
  <c r="F29" i="14"/>
  <c r="F120" i="14"/>
  <c r="H121" i="14"/>
  <c r="H119" i="14"/>
  <c r="G121" i="14"/>
  <c r="G119" i="14"/>
  <c r="G117" i="14" s="1"/>
  <c r="G116" i="14" s="1"/>
  <c r="G115" i="14" s="1"/>
  <c r="H34" i="14"/>
  <c r="F111" i="13"/>
  <c r="F89" i="13"/>
  <c r="F87" i="13"/>
  <c r="F86" i="13"/>
  <c r="F88" i="13"/>
  <c r="F40" i="13"/>
  <c r="F30" i="13"/>
  <c r="G26" i="14" l="1"/>
  <c r="H117" i="14"/>
  <c r="H116" i="14" s="1"/>
  <c r="H115" i="14" s="1"/>
  <c r="F48" i="14"/>
  <c r="F27" i="14"/>
  <c r="F26" i="14" s="1"/>
  <c r="G108" i="14"/>
  <c r="G135" i="14"/>
  <c r="G132" i="14" s="1"/>
  <c r="H136" i="14"/>
  <c r="H132" i="14" s="1"/>
  <c r="H108" i="14"/>
  <c r="F121" i="14"/>
  <c r="F119" i="14"/>
  <c r="F117" i="14" s="1"/>
  <c r="F116" i="14" s="1"/>
  <c r="F115" i="14" s="1"/>
  <c r="M121" i="14" s="1"/>
  <c r="F53" i="13"/>
  <c r="F50" i="13"/>
  <c r="H137" i="13"/>
  <c r="G137" i="13"/>
  <c r="F137" i="13"/>
  <c r="I136" i="13"/>
  <c r="I131" i="13"/>
  <c r="F129" i="13"/>
  <c r="F128" i="13" s="1"/>
  <c r="H128" i="13"/>
  <c r="G128" i="13"/>
  <c r="I127" i="13"/>
  <c r="H125" i="13"/>
  <c r="G125" i="13"/>
  <c r="F125" i="13"/>
  <c r="I124" i="13"/>
  <c r="M117" i="13"/>
  <c r="M116" i="13"/>
  <c r="M118" i="13" s="1"/>
  <c r="M115" i="13"/>
  <c r="F112" i="13"/>
  <c r="M119" i="13"/>
  <c r="H99" i="13"/>
  <c r="G99" i="13"/>
  <c r="F99" i="13"/>
  <c r="F96" i="13"/>
  <c r="H95" i="13"/>
  <c r="G95" i="13"/>
  <c r="F95" i="13"/>
  <c r="H92" i="13"/>
  <c r="G92" i="13"/>
  <c r="F92" i="13"/>
  <c r="I91" i="13"/>
  <c r="F91" i="13"/>
  <c r="H90" i="13"/>
  <c r="G90" i="13"/>
  <c r="F90" i="13"/>
  <c r="H89" i="13"/>
  <c r="G89" i="13"/>
  <c r="H88" i="13"/>
  <c r="G87" i="13"/>
  <c r="H86" i="13"/>
  <c r="H82" i="13" s="1"/>
  <c r="G86" i="13"/>
  <c r="G82" i="13" s="1"/>
  <c r="G79" i="13" s="1"/>
  <c r="F85" i="13"/>
  <c r="F82" i="13"/>
  <c r="F79" i="13" s="1"/>
  <c r="H77" i="13"/>
  <c r="G77" i="13"/>
  <c r="F77" i="13"/>
  <c r="H70" i="13"/>
  <c r="G70" i="13"/>
  <c r="F70" i="13"/>
  <c r="F69" i="13"/>
  <c r="F67" i="13"/>
  <c r="F66" i="13" s="1"/>
  <c r="H66" i="13"/>
  <c r="G66" i="13"/>
  <c r="H60" i="13"/>
  <c r="H59" i="13" s="1"/>
  <c r="G60" i="13"/>
  <c r="G59" i="13" s="1"/>
  <c r="F60" i="13"/>
  <c r="F59" i="13" s="1"/>
  <c r="H56" i="13"/>
  <c r="G56" i="13"/>
  <c r="F56" i="13"/>
  <c r="H53" i="13"/>
  <c r="G53" i="13"/>
  <c r="H50" i="13"/>
  <c r="H49" i="13" s="1"/>
  <c r="G50" i="13"/>
  <c r="F36" i="13"/>
  <c r="H35" i="13"/>
  <c r="H120" i="13" s="1"/>
  <c r="G35" i="13"/>
  <c r="G34" i="13" s="1"/>
  <c r="F35" i="13"/>
  <c r="F120" i="13" s="1"/>
  <c r="F32" i="13"/>
  <c r="H30" i="13"/>
  <c r="H29" i="13" s="1"/>
  <c r="H27" i="13" s="1"/>
  <c r="G30" i="13"/>
  <c r="G29" i="13" s="1"/>
  <c r="I29" i="13"/>
  <c r="I27" i="13" s="1"/>
  <c r="F29" i="13"/>
  <c r="F25" i="13"/>
  <c r="G49" i="13" l="1"/>
  <c r="G48" i="13" s="1"/>
  <c r="H79" i="13"/>
  <c r="H48" i="13"/>
  <c r="F49" i="13"/>
  <c r="F48" i="13" s="1"/>
  <c r="F26" i="13" s="1"/>
  <c r="H26" i="13"/>
  <c r="F34" i="13"/>
  <c r="F108" i="14"/>
  <c r="F134" i="14"/>
  <c r="F132" i="14" s="1"/>
  <c r="F27" i="13"/>
  <c r="M120" i="13"/>
  <c r="F121" i="13"/>
  <c r="F119" i="13"/>
  <c r="F117" i="13" s="1"/>
  <c r="F116" i="13" s="1"/>
  <c r="F115" i="13" s="1"/>
  <c r="H121" i="13"/>
  <c r="H119" i="13"/>
  <c r="H117" i="13" s="1"/>
  <c r="H116" i="13" s="1"/>
  <c r="H115" i="13" s="1"/>
  <c r="G27" i="13"/>
  <c r="G26" i="13" s="1"/>
  <c r="H34" i="13"/>
  <c r="G120" i="13"/>
  <c r="M116" i="12"/>
  <c r="M117" i="12"/>
  <c r="M115" i="12"/>
  <c r="F108" i="13" l="1"/>
  <c r="F134" i="13"/>
  <c r="F132" i="13" s="1"/>
  <c r="M121" i="13"/>
  <c r="G121" i="13"/>
  <c r="G119" i="13"/>
  <c r="G117" i="13" s="1"/>
  <c r="G116" i="13" s="1"/>
  <c r="G115" i="13" s="1"/>
  <c r="H136" i="13"/>
  <c r="H132" i="13" s="1"/>
  <c r="H108" i="13"/>
  <c r="H30" i="12"/>
  <c r="G30" i="12"/>
  <c r="F30" i="12"/>
  <c r="H53" i="12"/>
  <c r="G53" i="12"/>
  <c r="F53" i="12"/>
  <c r="H50" i="12"/>
  <c r="G50" i="12"/>
  <c r="F50" i="12"/>
  <c r="F111" i="12"/>
  <c r="F91" i="12"/>
  <c r="F85" i="12"/>
  <c r="F86" i="12"/>
  <c r="F87" i="12"/>
  <c r="F89" i="12"/>
  <c r="F32" i="12"/>
  <c r="F96" i="12"/>
  <c r="F69" i="12"/>
  <c r="F67" i="12"/>
  <c r="G108" i="13" l="1"/>
  <c r="G135" i="13"/>
  <c r="G132" i="13" s="1"/>
  <c r="H137" i="12"/>
  <c r="G137" i="12"/>
  <c r="F137" i="12"/>
  <c r="I136" i="12"/>
  <c r="I131" i="12"/>
  <c r="F129" i="12"/>
  <c r="F128" i="12" s="1"/>
  <c r="H128" i="12"/>
  <c r="G128" i="12"/>
  <c r="I127" i="12"/>
  <c r="H125" i="12"/>
  <c r="G125" i="12"/>
  <c r="F125" i="12"/>
  <c r="I124" i="12"/>
  <c r="M119" i="12"/>
  <c r="M118" i="12"/>
  <c r="F112" i="12"/>
  <c r="H99" i="12"/>
  <c r="G99" i="12"/>
  <c r="F99" i="12"/>
  <c r="H95" i="12"/>
  <c r="G95" i="12"/>
  <c r="F95" i="12"/>
  <c r="H92" i="12"/>
  <c r="G92" i="12"/>
  <c r="F92" i="12"/>
  <c r="I91" i="12"/>
  <c r="H90" i="12"/>
  <c r="G90" i="12"/>
  <c r="F90" i="12"/>
  <c r="H89" i="12"/>
  <c r="H82" i="12" s="1"/>
  <c r="H79" i="12" s="1"/>
  <c r="G89" i="12"/>
  <c r="H88" i="12"/>
  <c r="F88" i="12"/>
  <c r="F82" i="12" s="1"/>
  <c r="G87" i="12"/>
  <c r="H86" i="12"/>
  <c r="G86" i="12"/>
  <c r="G82" i="12"/>
  <c r="G79" i="12" s="1"/>
  <c r="H77" i="12"/>
  <c r="G77" i="12"/>
  <c r="F77" i="12"/>
  <c r="H70" i="12"/>
  <c r="G70" i="12"/>
  <c r="F70" i="12"/>
  <c r="H66" i="12"/>
  <c r="G66" i="12"/>
  <c r="F66" i="12"/>
  <c r="H60" i="12"/>
  <c r="H59" i="12" s="1"/>
  <c r="G60" i="12"/>
  <c r="G59" i="12" s="1"/>
  <c r="F60" i="12"/>
  <c r="F59" i="12" s="1"/>
  <c r="H56" i="12"/>
  <c r="G56" i="12"/>
  <c r="G49" i="12" s="1"/>
  <c r="F56" i="12"/>
  <c r="F49" i="12"/>
  <c r="H49" i="12"/>
  <c r="F40" i="12"/>
  <c r="F36" i="12"/>
  <c r="F35" i="12" s="1"/>
  <c r="H35" i="12"/>
  <c r="H120" i="12" s="1"/>
  <c r="G35" i="12"/>
  <c r="G120" i="12" s="1"/>
  <c r="G29" i="12"/>
  <c r="F29" i="12"/>
  <c r="I29" i="12"/>
  <c r="I27" i="12" s="1"/>
  <c r="F25" i="12"/>
  <c r="H48" i="12" l="1"/>
  <c r="H29" i="12"/>
  <c r="H27" i="12" s="1"/>
  <c r="F79" i="12"/>
  <c r="M120" i="12"/>
  <c r="F48" i="12"/>
  <c r="H117" i="12"/>
  <c r="H116" i="12" s="1"/>
  <c r="H115" i="12" s="1"/>
  <c r="G121" i="12"/>
  <c r="G119" i="12"/>
  <c r="G117" i="12" s="1"/>
  <c r="G116" i="12" s="1"/>
  <c r="G115" i="12" s="1"/>
  <c r="G48" i="12"/>
  <c r="H121" i="12"/>
  <c r="H119" i="12"/>
  <c r="H26" i="12"/>
  <c r="F120" i="12"/>
  <c r="F34" i="12"/>
  <c r="F27" i="12" s="1"/>
  <c r="G34" i="12"/>
  <c r="G27" i="12" s="1"/>
  <c r="H34" i="12"/>
  <c r="M117" i="11"/>
  <c r="M116" i="11"/>
  <c r="F88" i="11"/>
  <c r="F87" i="11"/>
  <c r="H53" i="11"/>
  <c r="G53" i="11"/>
  <c r="F53" i="11"/>
  <c r="H50" i="11"/>
  <c r="G50" i="11"/>
  <c r="F50" i="11"/>
  <c r="F40" i="11"/>
  <c r="H30" i="11"/>
  <c r="G30" i="11"/>
  <c r="F30" i="11"/>
  <c r="G26" i="12" l="1"/>
  <c r="F26" i="12"/>
  <c r="H136" i="12"/>
  <c r="H132" i="12" s="1"/>
  <c r="H108" i="12"/>
  <c r="G108" i="12"/>
  <c r="G135" i="12"/>
  <c r="G132" i="12" s="1"/>
  <c r="F121" i="12"/>
  <c r="F119" i="12"/>
  <c r="F117" i="12" s="1"/>
  <c r="F116" i="12" s="1"/>
  <c r="F115" i="12" s="1"/>
  <c r="M115" i="11"/>
  <c r="F108" i="12" l="1"/>
  <c r="F134" i="12"/>
  <c r="F132" i="12" s="1"/>
  <c r="M121" i="12"/>
  <c r="F89" i="11"/>
  <c r="M118" i="11"/>
  <c r="H137" i="11" l="1"/>
  <c r="G137" i="11"/>
  <c r="F137" i="11"/>
  <c r="I136" i="11"/>
  <c r="I131" i="11"/>
  <c r="F129" i="11"/>
  <c r="F128" i="11" s="1"/>
  <c r="H128" i="11"/>
  <c r="G128" i="11"/>
  <c r="I127" i="11"/>
  <c r="H125" i="11"/>
  <c r="G125" i="11"/>
  <c r="F125" i="11"/>
  <c r="I124" i="11"/>
  <c r="F111" i="11"/>
  <c r="H99" i="11"/>
  <c r="G99" i="11"/>
  <c r="F99" i="11"/>
  <c r="H95" i="11"/>
  <c r="G95" i="11"/>
  <c r="F95" i="11"/>
  <c r="H92" i="11"/>
  <c r="G92" i="11"/>
  <c r="F92" i="11"/>
  <c r="I91" i="11"/>
  <c r="F91" i="11"/>
  <c r="H90" i="11"/>
  <c r="G90" i="11"/>
  <c r="F90" i="11"/>
  <c r="H89" i="11"/>
  <c r="G89" i="11"/>
  <c r="H88" i="11"/>
  <c r="G87" i="11"/>
  <c r="H86" i="11"/>
  <c r="G86" i="11"/>
  <c r="F86" i="11"/>
  <c r="F85" i="11"/>
  <c r="F82" i="11" s="1"/>
  <c r="F79" i="11" s="1"/>
  <c r="H77" i="11"/>
  <c r="G77" i="11"/>
  <c r="F77" i="11"/>
  <c r="H70" i="11"/>
  <c r="G70" i="11"/>
  <c r="F70" i="11"/>
  <c r="F69" i="11"/>
  <c r="F66" i="11" s="1"/>
  <c r="H66" i="11"/>
  <c r="G66" i="11"/>
  <c r="H60" i="11"/>
  <c r="H59" i="11" s="1"/>
  <c r="G60" i="11"/>
  <c r="F60" i="11"/>
  <c r="F59" i="11" s="1"/>
  <c r="G59" i="11"/>
  <c r="H56" i="11"/>
  <c r="G56" i="11"/>
  <c r="F56" i="11"/>
  <c r="G49" i="11"/>
  <c r="H49" i="11"/>
  <c r="F36" i="11"/>
  <c r="F35" i="11" s="1"/>
  <c r="H35" i="11"/>
  <c r="H120" i="11" s="1"/>
  <c r="G35" i="11"/>
  <c r="G120" i="11" s="1"/>
  <c r="H34" i="11"/>
  <c r="F32" i="11"/>
  <c r="H29" i="11"/>
  <c r="H27" i="11" s="1"/>
  <c r="G29" i="11"/>
  <c r="F29" i="11"/>
  <c r="I29" i="11"/>
  <c r="I27" i="11"/>
  <c r="F25" i="11"/>
  <c r="H82" i="11" l="1"/>
  <c r="H79" i="11" s="1"/>
  <c r="G82" i="11"/>
  <c r="G79" i="11" s="1"/>
  <c r="G48" i="11" s="1"/>
  <c r="F49" i="11"/>
  <c r="F48" i="11" s="1"/>
  <c r="H48" i="11"/>
  <c r="H26" i="11" s="1"/>
  <c r="G121" i="11"/>
  <c r="G119" i="11"/>
  <c r="H121" i="11"/>
  <c r="H119" i="11"/>
  <c r="F120" i="11"/>
  <c r="F34" i="11"/>
  <c r="F27" i="11" s="1"/>
  <c r="F112" i="11"/>
  <c r="M119" i="11"/>
  <c r="M120" i="11" s="1"/>
  <c r="G34" i="11"/>
  <c r="G27" i="11" s="1"/>
  <c r="G26" i="11" s="1"/>
  <c r="H117" i="11" l="1"/>
  <c r="H116" i="11" s="1"/>
  <c r="H115" i="11" s="1"/>
  <c r="G117" i="11"/>
  <c r="G116" i="11" s="1"/>
  <c r="G115" i="11" s="1"/>
  <c r="F26" i="11"/>
  <c r="H136" i="11"/>
  <c r="H132" i="11" s="1"/>
  <c r="H108" i="11"/>
  <c r="G135" i="11"/>
  <c r="G132" i="11" s="1"/>
  <c r="G108" i="11"/>
  <c r="F121" i="11"/>
  <c r="F119" i="11"/>
  <c r="F117" i="11" s="1"/>
  <c r="F116" i="11" s="1"/>
  <c r="F115" i="11" s="1"/>
  <c r="H35" i="10"/>
  <c r="H120" i="10" s="1"/>
  <c r="G35" i="10"/>
  <c r="G120" i="10" s="1"/>
  <c r="F36" i="10"/>
  <c r="F35" i="10" s="1"/>
  <c r="F120" i="10" s="1"/>
  <c r="F111" i="10"/>
  <c r="F134" i="11" l="1"/>
  <c r="F132" i="11" s="1"/>
  <c r="F108" i="11"/>
  <c r="M121" i="11"/>
  <c r="F129" i="10"/>
  <c r="H89" i="10" l="1"/>
  <c r="H88" i="10"/>
  <c r="H86" i="10"/>
  <c r="H30" i="10"/>
  <c r="G86" i="10"/>
  <c r="G87" i="10"/>
  <c r="G89" i="10"/>
  <c r="G53" i="10"/>
  <c r="G50" i="10"/>
  <c r="G30" i="10"/>
  <c r="F69" i="10"/>
  <c r="F89" i="10"/>
  <c r="F91" i="10"/>
  <c r="F88" i="10"/>
  <c r="F87" i="10"/>
  <c r="F86" i="10"/>
  <c r="F85" i="10"/>
  <c r="F53" i="10"/>
  <c r="F50" i="10"/>
  <c r="F32" i="10"/>
  <c r="F30" i="10"/>
  <c r="F25" i="10"/>
  <c r="H137" i="10" l="1"/>
  <c r="G137" i="10"/>
  <c r="F137" i="10"/>
  <c r="I136" i="10"/>
  <c r="I131" i="10"/>
  <c r="F128" i="10"/>
  <c r="H128" i="10"/>
  <c r="G128" i="10"/>
  <c r="I127" i="10"/>
  <c r="H125" i="10"/>
  <c r="G125" i="10"/>
  <c r="F125" i="10"/>
  <c r="I124" i="10"/>
  <c r="F112" i="10"/>
  <c r="H99" i="10"/>
  <c r="G99" i="10"/>
  <c r="F99" i="10"/>
  <c r="H95" i="10"/>
  <c r="G95" i="10"/>
  <c r="F95" i="10"/>
  <c r="H92" i="10"/>
  <c r="G92" i="10"/>
  <c r="F92" i="10"/>
  <c r="I91" i="10"/>
  <c r="F90" i="10"/>
  <c r="H90" i="10"/>
  <c r="G90" i="10"/>
  <c r="G82" i="10"/>
  <c r="H77" i="10"/>
  <c r="G77" i="10"/>
  <c r="F77" i="10"/>
  <c r="H70" i="10"/>
  <c r="G70" i="10"/>
  <c r="F70" i="10"/>
  <c r="F66" i="10"/>
  <c r="G66" i="10"/>
  <c r="H66" i="10"/>
  <c r="H60" i="10"/>
  <c r="H59" i="10" s="1"/>
  <c r="G60" i="10"/>
  <c r="G59" i="10" s="1"/>
  <c r="F60" i="10"/>
  <c r="F59" i="10" s="1"/>
  <c r="H56" i="10"/>
  <c r="H49" i="10" s="1"/>
  <c r="G56" i="10"/>
  <c r="G49" i="10" s="1"/>
  <c r="F56" i="10"/>
  <c r="F49" i="10"/>
  <c r="H29" i="10"/>
  <c r="H27" i="10" s="1"/>
  <c r="G29" i="10"/>
  <c r="F29" i="10"/>
  <c r="I29" i="10"/>
  <c r="I27" i="10" s="1"/>
  <c r="G79" i="10" l="1"/>
  <c r="G48" i="10" s="1"/>
  <c r="H82" i="10"/>
  <c r="H79" i="10" s="1"/>
  <c r="H48" i="10" s="1"/>
  <c r="H26" i="10" s="1"/>
  <c r="G121" i="10"/>
  <c r="H121" i="10"/>
  <c r="F82" i="10"/>
  <c r="F79" i="10" s="1"/>
  <c r="F121" i="10"/>
  <c r="F119" i="10"/>
  <c r="F34" i="10"/>
  <c r="F27" i="10" s="1"/>
  <c r="G34" i="10"/>
  <c r="G27" i="10" s="1"/>
  <c r="H34" i="10"/>
  <c r="F117" i="10" l="1"/>
  <c r="F116" i="10" s="1"/>
  <c r="G119" i="10"/>
  <c r="G117" i="10" s="1"/>
  <c r="G116" i="10" s="1"/>
  <c r="G115" i="10" s="1"/>
  <c r="H119" i="10"/>
  <c r="H117" i="10" s="1"/>
  <c r="H116" i="10" s="1"/>
  <c r="H115" i="10" s="1"/>
  <c r="H136" i="10" s="1"/>
  <c r="H132" i="10" s="1"/>
  <c r="G26" i="10"/>
  <c r="F48" i="10"/>
  <c r="F26" i="10" s="1"/>
  <c r="F115" i="10" l="1"/>
  <c r="G135" i="10"/>
  <c r="G132" i="10" s="1"/>
  <c r="G108" i="10"/>
  <c r="H108" i="10"/>
  <c r="F134" i="10" l="1"/>
  <c r="F132" i="10" s="1"/>
  <c r="F108" i="10"/>
</calcChain>
</file>

<file path=xl/sharedStrings.xml><?xml version="1.0" encoding="utf-8"?>
<sst xmlns="http://schemas.openxmlformats.org/spreadsheetml/2006/main" count="2616" uniqueCount="223">
  <si>
    <t>УТВЕРЖДАЮ</t>
  </si>
  <si>
    <t>Начальник управления образования администрации муниципального образования Гулькевичский район</t>
  </si>
  <si>
    <t>____________________ Н.В. Дудникова</t>
  </si>
  <si>
    <t>План финансово-хозяйственной деятельности</t>
  </si>
  <si>
    <t>Коды</t>
  </si>
  <si>
    <t>Дата</t>
  </si>
  <si>
    <t>Орган, осуществляющий функции и полномочия учредителя: Управление образования администрации муниципального образования Гулькевичский район</t>
  </si>
  <si>
    <t>по Сводному реестру</t>
  </si>
  <si>
    <t>глава по БК</t>
  </si>
  <si>
    <t>ИНН</t>
  </si>
  <si>
    <t>КПП</t>
  </si>
  <si>
    <t>Единица измерения: руб.</t>
  </si>
  <si>
    <t>по ОКЕИ</t>
  </si>
  <si>
    <t>Раздел 1. Поступления и выплаты.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</si>
  <si>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</si>
  <si>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</si>
  <si>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</si>
  <si>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</si>
  <si>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</si>
  <si>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год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</si>
  <si>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</si>
  <si>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</si>
  <si>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</si>
  <si>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</si>
  <si>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</si>
  <si>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</si>
  <si>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</si>
  <si>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</si>
  <si>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</si>
  <si>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</si>
  <si>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</si>
  <si>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</si>
  <si>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</si>
  <si>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</si>
  <si>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 xml:space="preserve"> 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</si>
  <si>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</si>
  <si>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</si>
  <si>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</si>
  <si>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</si>
  <si>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</si>
  <si>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</si>
  <si>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поступления на финансовое обеспечение выполнения государственного (муниципального) задания от оказания услуг (выполнения работ) на платной основе и от иной приносящей доход деятельности</t>
  </si>
  <si>
    <t>1230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</si>
  <si>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</si>
  <si>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</si>
  <si>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</si>
  <si>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</si>
  <si>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</si>
  <si>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</si>
  <si>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 целевые субсидии:
целевые субсидии</t>
  </si>
  <si>
    <t>1410</t>
  </si>
  <si>
    <t>Субсидии на осуществление капитальных вложений</t>
  </si>
  <si>
    <t>1420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</si>
  <si>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</si>
  <si>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</si>
  <si>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прочие доходы, всего</t>
  </si>
  <si>
    <t>1500</t>
  </si>
  <si>
    <t>180</t>
  </si>
  <si>
    <t>в том числе:</t>
  </si>
  <si>
    <t>доходы от операций с активами, всего</t>
  </si>
  <si>
    <t>1900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</si>
  <si>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</si>
  <si>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</si>
  <si>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</si>
  <si>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</si>
  <si>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</si>
  <si>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</si>
  <si>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</si>
  <si>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</si>
  <si>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</si>
  <si>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в том числе:
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</si>
  <si>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</si>
  <si>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</si>
  <si>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</si>
  <si>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</si>
  <si>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</si>
  <si>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</si>
  <si>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в том числе:
на оплату труда стажеров</t>
  </si>
  <si>
    <t>на иные выплаты гражданским лицам (денежное содержание)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</si>
  <si>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</si>
  <si>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</si>
  <si>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из них:
пособия, компенсации и иные социальные выплаты гражданам, кроме публичных нормативных обязательств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</si>
  <si>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</si>
  <si>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</si>
  <si>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</si>
  <si>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иные выплаты населению</t>
  </si>
  <si>
    <t>уплата налогов, сборов и иных платежей, всего</t>
  </si>
  <si>
    <t>из них:
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</si>
  <si>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</si>
  <si>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</si>
  <si>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</si>
  <si>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из них:
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</si>
  <si>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</si>
  <si>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</si>
  <si>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</si>
  <si>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</si>
  <si>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международных организаций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</si>
  <si>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</si>
  <si>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</si>
  <si>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</t>
  </si>
  <si>
    <t>в том числе:
закупку научно-исследовательских и опытно-конструкторских работ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</si>
  <si>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</si>
  <si>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</si>
  <si>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 xml:space="preserve">из них:
</t>
  </si>
  <si>
    <t>услуги связи</t>
  </si>
  <si>
    <t>244</t>
  </si>
  <si>
    <t>коммунальные услуги</t>
  </si>
  <si>
    <t>работы, услуги по содержанию имущества</t>
  </si>
  <si>
    <t>прочие работы, услуги</t>
  </si>
  <si>
    <t xml:space="preserve"> увеличение стоимости основных средств</t>
  </si>
  <si>
    <t>увеличение стоимости материальных запасов</t>
  </si>
  <si>
    <t>Закупка энергетических ресурсов</t>
  </si>
  <si>
    <t>247</t>
  </si>
  <si>
    <t>в том числе:
коммунальные услуги</t>
  </si>
  <si>
    <t>капитальные вложения в объекты государственной (муниципальной) собственности, всего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</si>
  <si>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</si>
  <si>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</si>
  <si>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</t>
  </si>
  <si>
    <t>в том числе:
налог на прибыль</t>
  </si>
  <si>
    <t>налог на добавленную стоимость</t>
  </si>
  <si>
    <t>прочие налоги, уменьшающие доход</t>
  </si>
  <si>
    <t>Прочие выплаты, всего</t>
  </si>
  <si>
    <t>из них:
возврат в бюджет средств субсидии</t>
  </si>
  <si>
    <t>Раздел 2. Сведения по выплатам на закупки товаров, работ, услуг</t>
  </si>
  <si>
    <t>№ п\п</t>
  </si>
  <si>
    <t>Коды строк</t>
  </si>
  <si>
    <t>Год начала закупки</t>
  </si>
  <si>
    <t>4.1</t>
  </si>
  <si>
    <t>Выплаты на закупку товаров, работ, услуг, всего</t>
  </si>
  <si>
    <t>1.1.</t>
  </si>
  <si>
    <t>1.2.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</si>
  <si>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</si>
  <si>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1.3.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</si>
  <si>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</si>
  <si>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1.3.1</t>
  </si>
  <si>
    <t>в том числе: в соответствии с Федеральным законом №44-ФЗ</t>
  </si>
  <si>
    <t>из них:</t>
  </si>
  <si>
    <t>26310.1</t>
  </si>
  <si>
    <t>1.3.2</t>
  </si>
  <si>
    <t>в соответствии с Федеральным законом №223-ФЗ</t>
  </si>
  <si>
    <t>1.4.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</si>
  <si>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</si>
  <si>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1.4.1.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</si>
  <si>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</si>
  <si>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1.4.1.1.</t>
  </si>
  <si>
    <t>в том числе:
в соответствии с Федеральным законом № 44-ФЗ</t>
  </si>
  <si>
    <t>1.4.1.2.</t>
  </si>
  <si>
    <t>в соответствии с Федеральным законом № 223-ФЗ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</si>
  <si>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</si>
  <si>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</si>
  <si>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1.4.2.1.</t>
  </si>
  <si>
    <t>26421.1</t>
  </si>
  <si>
    <t>1.4.2.2.</t>
  </si>
  <si>
    <t>1.4.3.</t>
  </si>
  <si>
    <t>за счет субсидий, предоставляемых на осуществление капитальных вложений</t>
  </si>
  <si>
    <t>26430.1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</si>
  <si>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</si>
  <si>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</si>
  <si>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</si>
  <si>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</si>
  <si>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</si>
  <si>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</si>
  <si>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</si>
  <si>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26451.1</t>
  </si>
  <si>
    <t>1.4.5.2.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</si>
  <si>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</si>
  <si>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</si>
  <si>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в том числе по году начала закупки:</t>
  </si>
  <si>
    <t>2.1</t>
  </si>
  <si>
    <t>Год закупки</t>
  </si>
  <si>
    <t>2.2</t>
  </si>
  <si>
    <t>2.3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</si>
  <si>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</si>
  <si>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</si>
  <si>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(подпись)</t>
  </si>
  <si>
    <t>(расшифровка подписи)</t>
  </si>
  <si>
    <t>М.М. Кубченко</t>
  </si>
  <si>
    <t>Заместитель главного бухгалтера МКУ "ЦБ УО"</t>
  </si>
  <si>
    <t xml:space="preserve">                          (подпись)                               (расшифровка подписи)</t>
  </si>
  <si>
    <t>на 2024 год</t>
  </si>
  <si>
    <t>МП "Обеспечение безопасности населения" обеспечение пожарной безопасности объектов социальной сферы</t>
  </si>
  <si>
    <t>МП "Развитие образования" (проведение капитального и текущего ремонта учреждений образования, приобретение стройматериалов)</t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</si>
  <si>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11"/>
        <rFont val="Times New Roman"/>
        <family val="1"/>
        <charset val="204"/>
      </rPr>
      <t>12</t>
    </r>
  </si>
  <si>
    <t>Льготы специалистам села ДДУ</t>
  </si>
  <si>
    <t>Учреждение (подразделение):  Муниципальное бюджетное дошкольное образовательное учреждение детский сад  22 пос. Урожайного муниципального образования Гулькевичский район</t>
  </si>
  <si>
    <t>Заведующий МБДОУ  д/с № 22</t>
  </si>
  <si>
    <t xml:space="preserve">   А.И. Зизяева</t>
  </si>
  <si>
    <r>
      <t xml:space="preserve">Исполнитель                             / Е.В. Шульгина   </t>
    </r>
    <r>
      <rPr>
        <sz val="9"/>
        <color theme="1"/>
        <rFont val="Times New Roman"/>
        <family val="1"/>
        <charset val="204"/>
      </rPr>
      <t>тел.</t>
    </r>
    <r>
      <rPr>
        <sz val="14"/>
        <color theme="1"/>
        <rFont val="Times New Roman"/>
        <family val="1"/>
        <charset val="204"/>
      </rPr>
      <t xml:space="preserve"> 3-20-05</t>
    </r>
  </si>
  <si>
    <t>кркс 110</t>
  </si>
  <si>
    <t>итого</t>
  </si>
  <si>
    <t>разница</t>
  </si>
  <si>
    <t>226/200</t>
  </si>
  <si>
    <t>на 2023 год и плановый период 2024 и 2025 года</t>
  </si>
  <si>
    <t>на 2025 год</t>
  </si>
  <si>
    <t>"25" января 2023 г.</t>
  </si>
  <si>
    <t>Иные цели (субвенции краевого бюджета)</t>
  </si>
  <si>
    <t>Приобретение оборудования (субвенции краевого бюджета)</t>
  </si>
  <si>
    <t>Уточненный план финансово-хозяйственной деятельности</t>
  </si>
  <si>
    <t xml:space="preserve">             «01» января  2023 г.</t>
  </si>
  <si>
    <t>"17" февраля 2023 г.</t>
  </si>
  <si>
    <t xml:space="preserve">             «17» февраля  2023 г.</t>
  </si>
  <si>
    <t>"24" апреля 2023 г.</t>
  </si>
  <si>
    <t xml:space="preserve">             «24» апреля  2023 г.</t>
  </si>
  <si>
    <t>"07" июня 2023 г.</t>
  </si>
  <si>
    <t xml:space="preserve">             «07» июня  2023 г.</t>
  </si>
  <si>
    <t>Исполняющий обязанности начальника управления образования администрации муниципального образования Гулькевичский район</t>
  </si>
  <si>
    <t>____________________ Е.Ю. Келейникова</t>
  </si>
  <si>
    <t>"10" августа 2023 г.</t>
  </si>
  <si>
    <t xml:space="preserve">             «10» августа  2023 г.</t>
  </si>
  <si>
    <t>"15" сентября 2023 г.</t>
  </si>
  <si>
    <t xml:space="preserve">             «15» сентября  2023 г.</t>
  </si>
  <si>
    <t>"27" сентября 2023 г.</t>
  </si>
  <si>
    <t xml:space="preserve">             «27» сентября  2023 г.</t>
  </si>
  <si>
    <r>
      <t xml:space="preserve">Исполнитель                             / Е.С.Ковалева  </t>
    </r>
    <r>
      <rPr>
        <sz val="9"/>
        <color theme="1"/>
        <rFont val="Times New Roman"/>
        <family val="1"/>
        <charset val="204"/>
      </rPr>
      <t>тел.</t>
    </r>
    <r>
      <rPr>
        <sz val="14"/>
        <color theme="1"/>
        <rFont val="Times New Roman"/>
        <family val="1"/>
        <charset val="204"/>
      </rPr>
      <t xml:space="preserve"> 3-20-05</t>
    </r>
  </si>
  <si>
    <t>сгоз</t>
  </si>
  <si>
    <t>247квр</t>
  </si>
  <si>
    <t>муниц+госстандарт</t>
  </si>
  <si>
    <t>внебюджет 131</t>
  </si>
  <si>
    <t>110 внебюджет</t>
  </si>
  <si>
    <t>итого весь бюджет</t>
  </si>
  <si>
    <t>____________________ Е.Ю. Килейникова</t>
  </si>
  <si>
    <t>"20" октября 2023 г.</t>
  </si>
  <si>
    <t xml:space="preserve">             «20» октября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</si>
</sst>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7" fillId="2" borderId="0" xfId="0" applyFont="1" applyFill="1"/>
    <xf numFmtId="4" fontId="1" fillId="0" borderId="0" xfId="0" applyNumberFormat="1" applyFont="1"/>
    <xf numFmtId="0" fontId="10" fillId="2" borderId="0" xfId="0" applyFont="1" applyFill="1"/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9" fontId="8" fillId="0" borderId="8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3" fillId="0" borderId="0" xfId="0" applyNumberFormat="1" applyFont="1" applyFill="1" applyBorder="1" applyAlignment="1">
      <alignment horizontal="left" wrapText="1" indent="1"/>
    </xf>
    <xf numFmtId="0" fontId="3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/>
    <xf numFmtId="0" fontId="1" fillId="0" borderId="14" xfId="0" applyFont="1" applyFill="1" applyBorder="1"/>
    <xf numFmtId="0" fontId="10" fillId="0" borderId="14" xfId="0" applyFont="1" applyFill="1" applyBorder="1" applyAlignment="1">
      <alignment horizontal="left" vertical="top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1" fillId="0" borderId="15" xfId="0" applyFont="1" applyFill="1" applyBorder="1" applyAlignment="1">
      <alignment horizontal="left" vertical="top"/>
    </xf>
    <xf numFmtId="0" fontId="10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wrapText="1"/>
    </xf>
    <xf numFmtId="4" fontId="9" fillId="4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7" fillId="0" borderId="0" xfId="0" applyNumberFormat="1" applyFont="1" applyAlignment="1">
      <alignment wrapText="1"/>
    </xf>
    <xf numFmtId="4" fontId="3" fillId="5" borderId="1" xfId="0" applyNumberFormat="1" applyFont="1" applyFill="1" applyBorder="1" applyAlignment="1">
      <alignment horizontal="center" wrapText="1"/>
    </xf>
    <xf numFmtId="4" fontId="9" fillId="5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wrapText="1"/>
    </xf>
    <xf numFmtId="4" fontId="3" fillId="6" borderId="1" xfId="0" applyNumberFormat="1" applyFont="1" applyFill="1" applyBorder="1" applyAlignment="1">
      <alignment horizontal="center" wrapText="1"/>
    </xf>
    <xf numFmtId="0" fontId="12" fillId="2" borderId="0" xfId="0" applyFont="1" applyFill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wrapText="1"/>
    </xf>
    <xf numFmtId="0" fontId="8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wrapText="1"/>
    </xf>
    <xf numFmtId="0" fontId="3" fillId="0" borderId="8" xfId="0" applyNumberFormat="1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62"/>
  <sheetViews>
    <sheetView tabSelected="1" zoomScaleNormal="100" zoomScaleSheetLayoutView="100" workbookViewId="0">
      <selection activeCell="F129" sqref="F129"/>
    </sheetView>
  </sheetViews>
  <sheetFormatPr defaultColWidth="9.140625" defaultRowHeight="15.75" x14ac:dyDescent="0.25"/>
  <cols>
    <col min="1" max="1" width="7.85546875" style="3" customWidth="1"/>
    <col min="2" max="2" width="62.28515625" style="1" customWidth="1"/>
    <col min="3" max="3" width="7" style="1" customWidth="1"/>
    <col min="4" max="4" width="11.42578125" style="1" customWidth="1"/>
    <col min="5" max="5" width="11.28515625" style="1" customWidth="1"/>
    <col min="6" max="8" width="14" style="1" customWidth="1"/>
    <col min="9" max="9" width="11.7109375" style="1" customWidth="1"/>
    <col min="10" max="10" width="14.28515625" style="2" bestFit="1" customWidth="1"/>
    <col min="11" max="11" width="12.42578125" style="2" customWidth="1"/>
    <col min="12" max="12" width="9.140625" style="2"/>
    <col min="13" max="13" width="29.7109375" style="2" customWidth="1"/>
    <col min="14" max="16384" width="9.140625" style="2"/>
  </cols>
  <sheetData>
    <row r="1" spans="1:9" ht="15" customHeight="1" x14ac:dyDescent="0.25">
      <c r="A1" s="18"/>
      <c r="B1" s="19"/>
      <c r="C1" s="19"/>
      <c r="D1" s="19"/>
      <c r="E1" s="19"/>
      <c r="F1" s="19"/>
      <c r="G1" s="19"/>
      <c r="H1" s="19"/>
      <c r="I1" s="110" t="s">
        <v>0</v>
      </c>
    </row>
    <row r="2" spans="1:9" ht="30" customHeight="1" x14ac:dyDescent="0.25">
      <c r="A2" s="18"/>
      <c r="B2" s="19"/>
      <c r="C2" s="19"/>
      <c r="D2" s="19"/>
      <c r="E2" s="19"/>
      <c r="F2" s="166" t="s">
        <v>1</v>
      </c>
      <c r="G2" s="166"/>
      <c r="H2" s="166"/>
      <c r="I2" s="166"/>
    </row>
    <row r="3" spans="1:9" ht="15" customHeight="1" x14ac:dyDescent="0.25">
      <c r="A3" s="18"/>
      <c r="B3" s="19"/>
      <c r="C3" s="19"/>
      <c r="D3" s="19"/>
      <c r="E3" s="19"/>
      <c r="F3" s="19"/>
      <c r="G3" s="19"/>
      <c r="H3" s="19"/>
      <c r="I3" s="110" t="s">
        <v>220</v>
      </c>
    </row>
    <row r="4" spans="1:9" ht="15" customHeight="1" x14ac:dyDescent="0.25">
      <c r="A4" s="18"/>
      <c r="B4" s="19"/>
      <c r="C4" s="19"/>
      <c r="D4" s="19"/>
      <c r="E4" s="19"/>
      <c r="F4" s="167" t="s">
        <v>221</v>
      </c>
      <c r="G4" s="167"/>
      <c r="H4" s="167"/>
      <c r="I4" s="167"/>
    </row>
    <row r="5" spans="1:9" ht="15" customHeight="1" x14ac:dyDescent="0.25">
      <c r="A5" s="18"/>
      <c r="B5" s="19"/>
      <c r="C5" s="19"/>
      <c r="D5" s="19"/>
      <c r="E5" s="19"/>
      <c r="F5" s="19"/>
      <c r="G5" s="19"/>
      <c r="H5" s="19"/>
      <c r="I5" s="110"/>
    </row>
    <row r="6" spans="1:9" ht="15" customHeight="1" x14ac:dyDescent="0.25">
      <c r="A6" s="18"/>
      <c r="B6" s="19"/>
      <c r="C6" s="19"/>
      <c r="D6" s="19"/>
      <c r="E6" s="19"/>
      <c r="F6" s="19"/>
      <c r="G6" s="19"/>
      <c r="H6" s="19"/>
      <c r="I6" s="19"/>
    </row>
    <row r="7" spans="1:9" ht="15" customHeight="1" x14ac:dyDescent="0.3">
      <c r="A7" s="18"/>
      <c r="B7" s="168" t="s">
        <v>197</v>
      </c>
      <c r="C7" s="168"/>
      <c r="D7" s="168"/>
      <c r="E7" s="168"/>
      <c r="F7" s="168"/>
      <c r="G7" s="168"/>
      <c r="H7" s="168"/>
      <c r="I7" s="168"/>
    </row>
    <row r="8" spans="1:9" ht="15" customHeight="1" x14ac:dyDescent="0.3">
      <c r="A8" s="18"/>
      <c r="B8" s="168" t="s">
        <v>192</v>
      </c>
      <c r="C8" s="168"/>
      <c r="D8" s="168"/>
      <c r="E8" s="168"/>
      <c r="F8" s="168"/>
      <c r="G8" s="168"/>
      <c r="H8" s="168"/>
      <c r="I8" s="168"/>
    </row>
    <row r="9" spans="1:9" ht="15" customHeight="1" x14ac:dyDescent="0.25">
      <c r="A9" s="18"/>
      <c r="B9" s="19"/>
      <c r="C9" s="19"/>
      <c r="D9" s="19"/>
      <c r="E9" s="19"/>
      <c r="F9" s="19"/>
      <c r="G9" s="19"/>
      <c r="H9" s="19"/>
      <c r="I9" s="21"/>
    </row>
    <row r="10" spans="1:9" ht="15" customHeight="1" x14ac:dyDescent="0.25">
      <c r="A10" s="18"/>
      <c r="B10" s="169" t="s">
        <v>222</v>
      </c>
      <c r="C10" s="169"/>
      <c r="D10" s="169"/>
      <c r="E10" s="169"/>
      <c r="F10" s="169"/>
      <c r="G10" s="169"/>
      <c r="H10" s="169"/>
      <c r="I10" s="22" t="s">
        <v>4</v>
      </c>
    </row>
    <row r="11" spans="1:9" ht="15" customHeight="1" x14ac:dyDescent="0.25">
      <c r="A11" s="18"/>
      <c r="B11" s="19"/>
      <c r="C11" s="19"/>
      <c r="D11" s="19"/>
      <c r="E11" s="19"/>
      <c r="F11" s="19"/>
      <c r="G11" s="19"/>
      <c r="H11" s="23" t="s">
        <v>5</v>
      </c>
      <c r="I11" s="24">
        <v>45219</v>
      </c>
    </row>
    <row r="12" spans="1:9" ht="15" customHeight="1" x14ac:dyDescent="0.25">
      <c r="A12" s="18"/>
      <c r="B12" s="154" t="s">
        <v>6</v>
      </c>
      <c r="C12" s="154"/>
      <c r="D12" s="154"/>
      <c r="E12" s="154"/>
      <c r="F12" s="154"/>
      <c r="G12" s="19"/>
      <c r="H12" s="23" t="s">
        <v>7</v>
      </c>
      <c r="I12" s="22"/>
    </row>
    <row r="13" spans="1:9" ht="15" customHeight="1" x14ac:dyDescent="0.25">
      <c r="A13" s="18"/>
      <c r="B13" s="154"/>
      <c r="C13" s="154"/>
      <c r="D13" s="154"/>
      <c r="E13" s="154"/>
      <c r="F13" s="154"/>
      <c r="G13" s="25"/>
      <c r="H13" s="26" t="s">
        <v>8</v>
      </c>
      <c r="I13" s="27">
        <v>925</v>
      </c>
    </row>
    <row r="14" spans="1:9" ht="15" customHeight="1" x14ac:dyDescent="0.25">
      <c r="A14" s="18"/>
      <c r="B14" s="19"/>
      <c r="C14" s="19"/>
      <c r="D14" s="19"/>
      <c r="E14" s="19"/>
      <c r="F14" s="19"/>
      <c r="G14" s="19"/>
      <c r="H14" s="23" t="s">
        <v>7</v>
      </c>
      <c r="I14" s="22"/>
    </row>
    <row r="15" spans="1:9" ht="15" customHeight="1" x14ac:dyDescent="0.25">
      <c r="A15" s="18"/>
      <c r="B15" s="154" t="s">
        <v>184</v>
      </c>
      <c r="C15" s="154"/>
      <c r="D15" s="154"/>
      <c r="E15" s="154"/>
      <c r="F15" s="154"/>
      <c r="G15" s="25"/>
      <c r="H15" s="23" t="s">
        <v>9</v>
      </c>
      <c r="I15" s="22">
        <v>2329020879</v>
      </c>
    </row>
    <row r="16" spans="1:9" ht="15" customHeight="1" x14ac:dyDescent="0.25">
      <c r="A16" s="18"/>
      <c r="B16" s="154"/>
      <c r="C16" s="154"/>
      <c r="D16" s="154"/>
      <c r="E16" s="154"/>
      <c r="F16" s="154"/>
      <c r="G16" s="19"/>
      <c r="H16" s="23" t="s">
        <v>10</v>
      </c>
      <c r="I16" s="22">
        <v>232901001</v>
      </c>
    </row>
    <row r="17" spans="1:11" ht="15" customHeight="1" x14ac:dyDescent="0.25">
      <c r="A17" s="18"/>
      <c r="B17" s="19" t="s">
        <v>11</v>
      </c>
      <c r="C17" s="19"/>
      <c r="D17" s="19"/>
      <c r="E17" s="19"/>
      <c r="F17" s="19"/>
      <c r="G17" s="19"/>
      <c r="H17" s="23" t="s">
        <v>12</v>
      </c>
      <c r="I17" s="22">
        <v>383</v>
      </c>
    </row>
    <row r="18" spans="1:11" ht="15" customHeight="1" x14ac:dyDescent="0.25">
      <c r="A18" s="18"/>
      <c r="B18" s="19"/>
      <c r="C18" s="19"/>
      <c r="D18" s="19"/>
      <c r="E18" s="19"/>
      <c r="F18" s="19"/>
      <c r="G18" s="19"/>
      <c r="H18" s="23"/>
      <c r="I18" s="28"/>
    </row>
    <row r="19" spans="1:11" ht="15" customHeight="1" x14ac:dyDescent="0.25">
      <c r="A19" s="18"/>
      <c r="B19" s="155" t="s">
        <v>13</v>
      </c>
      <c r="C19" s="155"/>
      <c r="D19" s="155"/>
      <c r="E19" s="155"/>
      <c r="F19" s="155"/>
      <c r="G19" s="155"/>
      <c r="H19" s="155"/>
      <c r="I19" s="155"/>
    </row>
    <row r="20" spans="1:11" s="4" customFormat="1" ht="13.5" customHeight="1" x14ac:dyDescent="0.25">
      <c r="A20" s="156" t="s">
        <v>14</v>
      </c>
      <c r="B20" s="157"/>
      <c r="C20" s="130" t="s">
        <v>15</v>
      </c>
      <c r="D20" s="130" t="s">
        <v>16</v>
      </c>
      <c r="E20" s="130" t="s">
        <v>17</v>
      </c>
      <c r="F20" s="163" t="s">
        <v>18</v>
      </c>
      <c r="G20" s="164"/>
      <c r="H20" s="164"/>
      <c r="I20" s="165"/>
    </row>
    <row r="21" spans="1:11" s="4" customFormat="1" ht="15" customHeight="1" x14ac:dyDescent="0.25">
      <c r="A21" s="158"/>
      <c r="B21" s="159"/>
      <c r="C21" s="162"/>
      <c r="D21" s="162"/>
      <c r="E21" s="162"/>
      <c r="F21" s="111" t="s">
        <v>19</v>
      </c>
      <c r="G21" s="111" t="s">
        <v>179</v>
      </c>
      <c r="H21" s="111" t="s">
        <v>193</v>
      </c>
      <c r="I21" s="130" t="s">
        <v>20</v>
      </c>
    </row>
    <row r="22" spans="1:11" s="4" customFormat="1" ht="60" customHeight="1" x14ac:dyDescent="0.25">
      <c r="A22" s="160"/>
      <c r="B22" s="161"/>
      <c r="C22" s="131"/>
      <c r="D22" s="131"/>
      <c r="E22" s="131"/>
      <c r="F22" s="111" t="s">
        <v>21</v>
      </c>
      <c r="G22" s="111" t="s">
        <v>22</v>
      </c>
      <c r="H22" s="111" t="s">
        <v>23</v>
      </c>
      <c r="I22" s="131"/>
    </row>
    <row r="23" spans="1:11" s="4" customFormat="1" ht="12.75" customHeight="1" x14ac:dyDescent="0.25">
      <c r="A23" s="153">
        <v>1</v>
      </c>
      <c r="B23" s="153"/>
      <c r="C23" s="112">
        <v>2</v>
      </c>
      <c r="D23" s="112">
        <v>3</v>
      </c>
      <c r="E23" s="112">
        <v>4</v>
      </c>
      <c r="F23" s="111">
        <v>5</v>
      </c>
      <c r="G23" s="111">
        <v>6</v>
      </c>
      <c r="H23" s="111">
        <v>7</v>
      </c>
      <c r="I23" s="112">
        <v>8</v>
      </c>
    </row>
    <row r="24" spans="1:11" s="4" customFormat="1" ht="15" customHeight="1" x14ac:dyDescent="0.25">
      <c r="A24" s="148" t="s">
        <v>24</v>
      </c>
      <c r="B24" s="148"/>
      <c r="C24" s="32" t="s">
        <v>25</v>
      </c>
      <c r="D24" s="32" t="s">
        <v>26</v>
      </c>
      <c r="E24" s="111" t="s">
        <v>26</v>
      </c>
      <c r="F24" s="33">
        <f>180978.76+5255.14</f>
        <v>186233.90000000002</v>
      </c>
      <c r="G24" s="33">
        <v>0</v>
      </c>
      <c r="H24" s="33">
        <v>0</v>
      </c>
      <c r="I24" s="33">
        <v>0</v>
      </c>
    </row>
    <row r="25" spans="1:11" s="4" customFormat="1" ht="15" customHeight="1" x14ac:dyDescent="0.25">
      <c r="A25" s="148" t="s">
        <v>27</v>
      </c>
      <c r="B25" s="148"/>
      <c r="C25" s="32" t="s">
        <v>28</v>
      </c>
      <c r="D25" s="32" t="s">
        <v>26</v>
      </c>
      <c r="E25" s="111" t="s">
        <v>26</v>
      </c>
      <c r="F25" s="33">
        <f>F26+F24-F47-F98+F94</f>
        <v>3.7834979593753815E-10</v>
      </c>
      <c r="G25" s="33">
        <f>G26+G24-G47-G98+G94</f>
        <v>0</v>
      </c>
      <c r="H25" s="33">
        <f>H26+H24-H47-H98+H94</f>
        <v>9.3132257461547852E-10</v>
      </c>
      <c r="I25" s="33">
        <v>0</v>
      </c>
    </row>
    <row r="26" spans="1:11" s="4" customFormat="1" ht="15" customHeight="1" x14ac:dyDescent="0.2">
      <c r="A26" s="145" t="s">
        <v>29</v>
      </c>
      <c r="B26" s="145"/>
      <c r="C26" s="34" t="s">
        <v>30</v>
      </c>
      <c r="D26" s="35"/>
      <c r="E26" s="36">
        <v>100</v>
      </c>
      <c r="F26" s="37">
        <f>F27+F28+F32+F33+F44+F45+F41</f>
        <v>4607157.0599999996</v>
      </c>
      <c r="G26" s="37">
        <f>G27+G28+G32+G33+G44+G45+G41</f>
        <v>4544323.7700000005</v>
      </c>
      <c r="H26" s="37">
        <f>H27+H28+H32+H44+H45+H41</f>
        <v>4639523.7700000005</v>
      </c>
      <c r="I26" s="37">
        <f>I27+I28+I32+I33+I43+I44</f>
        <v>0</v>
      </c>
    </row>
    <row r="27" spans="1:11" s="4" customFormat="1" ht="26.25" customHeight="1" x14ac:dyDescent="0.25">
      <c r="A27" s="148" t="s">
        <v>31</v>
      </c>
      <c r="B27" s="148"/>
      <c r="C27" s="38" t="s">
        <v>32</v>
      </c>
      <c r="D27" s="32" t="s">
        <v>33</v>
      </c>
      <c r="E27" s="111"/>
      <c r="F27" s="33"/>
      <c r="G27" s="33"/>
      <c r="H27" s="33"/>
      <c r="I27" s="33"/>
    </row>
    <row r="28" spans="1:11" s="4" customFormat="1" ht="15" customHeight="1" x14ac:dyDescent="0.25">
      <c r="A28" s="148" t="s">
        <v>34</v>
      </c>
      <c r="B28" s="148"/>
      <c r="C28" s="32" t="s">
        <v>35</v>
      </c>
      <c r="D28" s="32" t="s">
        <v>36</v>
      </c>
      <c r="E28" s="111">
        <v>131</v>
      </c>
      <c r="F28" s="33">
        <f>F29+F31+F42+F44</f>
        <v>4205267.0599999996</v>
      </c>
      <c r="G28" s="33">
        <f>G29+G31+G42+G44</f>
        <v>4051223.7700000005</v>
      </c>
      <c r="H28" s="33">
        <f>H29+H31+H42+H44+H34</f>
        <v>4639523.7700000005</v>
      </c>
      <c r="I28" s="33">
        <f t="shared" ref="I28" si="0">SUM(I29:I31)</f>
        <v>0</v>
      </c>
    </row>
    <row r="29" spans="1:11" s="4" customFormat="1" ht="61.5" customHeight="1" x14ac:dyDescent="0.25">
      <c r="A29" s="148" t="s">
        <v>37</v>
      </c>
      <c r="B29" s="148"/>
      <c r="C29" s="32" t="s">
        <v>38</v>
      </c>
      <c r="D29" s="32" t="s">
        <v>36</v>
      </c>
      <c r="E29" s="111"/>
      <c r="F29" s="119">
        <f>2327338.09+1704042.47</f>
        <v>4031380.5599999996</v>
      </c>
      <c r="G29" s="33">
        <f>3927840.37-170362.5+111449.66+11933.74</f>
        <v>3880861.2700000005</v>
      </c>
      <c r="H29" s="33">
        <f>3969440.37-170362.5+111449.66+11933.74</f>
        <v>3922461.2700000005</v>
      </c>
      <c r="I29" s="33"/>
      <c r="J29" s="4" t="s">
        <v>216</v>
      </c>
    </row>
    <row r="30" spans="1:11" s="4" customFormat="1" ht="48" customHeight="1" x14ac:dyDescent="0.25">
      <c r="A30" s="148" t="s">
        <v>39</v>
      </c>
      <c r="B30" s="148"/>
      <c r="C30" s="32" t="s">
        <v>40</v>
      </c>
      <c r="D30" s="32" t="s">
        <v>36</v>
      </c>
      <c r="E30" s="111"/>
      <c r="F30" s="33"/>
      <c r="G30" s="33"/>
      <c r="H30" s="33"/>
      <c r="I30" s="33"/>
    </row>
    <row r="31" spans="1:11" s="4" customFormat="1" ht="47.25" customHeight="1" x14ac:dyDescent="0.25">
      <c r="A31" s="148" t="s">
        <v>41</v>
      </c>
      <c r="B31" s="148"/>
      <c r="C31" s="32" t="s">
        <v>42</v>
      </c>
      <c r="D31" s="32" t="s">
        <v>36</v>
      </c>
      <c r="E31" s="111"/>
      <c r="F31" s="118">
        <f>173886.5</f>
        <v>173886.5</v>
      </c>
      <c r="G31" s="33">
        <v>170362.5</v>
      </c>
      <c r="H31" s="33">
        <v>170362.5</v>
      </c>
      <c r="I31" s="33"/>
      <c r="J31" s="4" t="s">
        <v>217</v>
      </c>
      <c r="K31" s="115">
        <f>10792.1+128377.12+26659.95+8018.13+500</f>
        <v>174347.30000000002</v>
      </c>
    </row>
    <row r="32" spans="1:11" s="4" customFormat="1" ht="15" customHeight="1" x14ac:dyDescent="0.25">
      <c r="A32" s="148" t="s">
        <v>43</v>
      </c>
      <c r="B32" s="148"/>
      <c r="C32" s="32" t="s">
        <v>44</v>
      </c>
      <c r="D32" s="32" t="s">
        <v>45</v>
      </c>
      <c r="E32" s="111"/>
      <c r="F32" s="33"/>
      <c r="G32" s="33"/>
      <c r="H32" s="33"/>
      <c r="I32" s="33"/>
    </row>
    <row r="33" spans="1:10" s="4" customFormat="1" ht="15" customHeight="1" x14ac:dyDescent="0.25">
      <c r="A33" s="148" t="s">
        <v>46</v>
      </c>
      <c r="B33" s="148"/>
      <c r="C33" s="32" t="s">
        <v>47</v>
      </c>
      <c r="D33" s="32" t="s">
        <v>48</v>
      </c>
      <c r="E33" s="111"/>
      <c r="F33" s="33">
        <f>F34</f>
        <v>401890</v>
      </c>
      <c r="G33" s="33">
        <f>G34</f>
        <v>493100</v>
      </c>
      <c r="H33" s="33">
        <f>H34</f>
        <v>546700</v>
      </c>
      <c r="I33" s="33"/>
    </row>
    <row r="34" spans="1:10" s="4" customFormat="1" ht="15" customHeight="1" x14ac:dyDescent="0.25">
      <c r="A34" s="148" t="s">
        <v>49</v>
      </c>
      <c r="B34" s="148"/>
      <c r="C34" s="32" t="s">
        <v>50</v>
      </c>
      <c r="D34" s="32" t="s">
        <v>48</v>
      </c>
      <c r="E34" s="111"/>
      <c r="F34" s="33">
        <f>SUM(F35:F39)</f>
        <v>401890</v>
      </c>
      <c r="G34" s="33">
        <f>SUM(G35:G39)</f>
        <v>493100</v>
      </c>
      <c r="H34" s="33">
        <f>SUM(H35:H39)</f>
        <v>546700</v>
      </c>
      <c r="I34" s="33"/>
    </row>
    <row r="35" spans="1:10" s="4" customFormat="1" ht="27" customHeight="1" x14ac:dyDescent="0.25">
      <c r="A35" s="149" t="s">
        <v>195</v>
      </c>
      <c r="B35" s="150"/>
      <c r="C35" s="32"/>
      <c r="D35" s="32"/>
      <c r="E35" s="111"/>
      <c r="F35" s="33">
        <f>236900</f>
        <v>236900</v>
      </c>
      <c r="G35" s="33">
        <v>236900</v>
      </c>
      <c r="H35" s="33">
        <v>236900</v>
      </c>
      <c r="I35" s="33"/>
    </row>
    <row r="36" spans="1:10" s="4" customFormat="1" ht="26.25" customHeight="1" x14ac:dyDescent="0.25">
      <c r="A36" s="151" t="s">
        <v>196</v>
      </c>
      <c r="B36" s="152"/>
      <c r="C36" s="32"/>
      <c r="D36" s="32"/>
      <c r="E36" s="111"/>
      <c r="F36" s="33">
        <v>0</v>
      </c>
      <c r="G36" s="33">
        <v>10000</v>
      </c>
      <c r="H36" s="33">
        <v>10000</v>
      </c>
      <c r="I36" s="33"/>
      <c r="J36" s="4">
        <v>310</v>
      </c>
    </row>
    <row r="37" spans="1:10" s="4" customFormat="1" ht="35.25" customHeight="1" x14ac:dyDescent="0.25">
      <c r="A37" s="148" t="s">
        <v>183</v>
      </c>
      <c r="B37" s="148"/>
      <c r="C37" s="32"/>
      <c r="D37" s="32"/>
      <c r="E37" s="111"/>
      <c r="F37" s="116">
        <f>23700+17300</f>
        <v>41000</v>
      </c>
      <c r="G37" s="33">
        <v>23700</v>
      </c>
      <c r="H37" s="33">
        <v>23700</v>
      </c>
      <c r="I37" s="33"/>
    </row>
    <row r="38" spans="1:10" s="4" customFormat="1" ht="39" customHeight="1" x14ac:dyDescent="0.25">
      <c r="A38" s="148" t="s">
        <v>180</v>
      </c>
      <c r="B38" s="148"/>
      <c r="C38" s="32"/>
      <c r="D38" s="32"/>
      <c r="E38" s="111"/>
      <c r="F38" s="116">
        <v>16390</v>
      </c>
      <c r="G38" s="33">
        <v>70700</v>
      </c>
      <c r="H38" s="33">
        <v>70700</v>
      </c>
      <c r="I38" s="33"/>
    </row>
    <row r="39" spans="1:10" s="4" customFormat="1" ht="42" customHeight="1" x14ac:dyDescent="0.25">
      <c r="A39" s="148" t="s">
        <v>181</v>
      </c>
      <c r="B39" s="148"/>
      <c r="C39" s="32"/>
      <c r="D39" s="32"/>
      <c r="E39" s="111"/>
      <c r="F39" s="116">
        <v>107600</v>
      </c>
      <c r="G39" s="33">
        <v>151800</v>
      </c>
      <c r="H39" s="33">
        <v>205400</v>
      </c>
      <c r="I39" s="33"/>
    </row>
    <row r="40" spans="1:10" s="4" customFormat="1" ht="19.5" customHeight="1" x14ac:dyDescent="0.25">
      <c r="A40" s="148" t="s">
        <v>51</v>
      </c>
      <c r="B40" s="148"/>
      <c r="C40" s="32" t="s">
        <v>52</v>
      </c>
      <c r="D40" s="32" t="s">
        <v>48</v>
      </c>
      <c r="E40" s="111"/>
      <c r="F40" s="33"/>
      <c r="G40" s="33"/>
      <c r="H40" s="33"/>
      <c r="I40" s="33"/>
    </row>
    <row r="41" spans="1:10" s="4" customFormat="1" ht="43.5" customHeight="1" x14ac:dyDescent="0.25">
      <c r="A41" s="146" t="s">
        <v>53</v>
      </c>
      <c r="B41" s="147"/>
      <c r="C41" s="32" t="s">
        <v>54</v>
      </c>
      <c r="D41" s="32" t="s">
        <v>48</v>
      </c>
      <c r="E41" s="111"/>
      <c r="F41" s="33"/>
      <c r="G41" s="33"/>
      <c r="H41" s="33"/>
      <c r="I41" s="33"/>
    </row>
    <row r="42" spans="1:10" s="4" customFormat="1" ht="15" customHeight="1" x14ac:dyDescent="0.25">
      <c r="A42" s="148" t="s">
        <v>55</v>
      </c>
      <c r="B42" s="148"/>
      <c r="C42" s="32" t="s">
        <v>56</v>
      </c>
      <c r="D42" s="32" t="s">
        <v>57</v>
      </c>
      <c r="E42" s="111"/>
      <c r="F42" s="33"/>
      <c r="G42" s="33"/>
      <c r="H42" s="33"/>
      <c r="I42" s="33"/>
    </row>
    <row r="43" spans="1:10" s="4" customFormat="1" ht="15" customHeight="1" x14ac:dyDescent="0.25">
      <c r="A43" s="146" t="s">
        <v>58</v>
      </c>
      <c r="B43" s="147"/>
      <c r="C43" s="32"/>
      <c r="D43" s="32"/>
      <c r="E43" s="111"/>
      <c r="F43" s="33"/>
      <c r="G43" s="33"/>
      <c r="H43" s="33"/>
      <c r="I43" s="33"/>
    </row>
    <row r="44" spans="1:10" s="4" customFormat="1" ht="15" customHeight="1" x14ac:dyDescent="0.25">
      <c r="A44" s="148" t="s">
        <v>59</v>
      </c>
      <c r="B44" s="148"/>
      <c r="C44" s="32" t="s">
        <v>60</v>
      </c>
      <c r="D44" s="32" t="s">
        <v>61</v>
      </c>
      <c r="E44" s="111"/>
      <c r="F44" s="33"/>
      <c r="G44" s="33"/>
      <c r="H44" s="33"/>
      <c r="I44" s="33"/>
    </row>
    <row r="45" spans="1:10" s="4" customFormat="1" ht="17.25" customHeight="1" x14ac:dyDescent="0.25">
      <c r="A45" s="148" t="s">
        <v>62</v>
      </c>
      <c r="B45" s="148"/>
      <c r="C45" s="32" t="s">
        <v>63</v>
      </c>
      <c r="D45" s="32" t="s">
        <v>26</v>
      </c>
      <c r="E45" s="111"/>
      <c r="F45" s="33"/>
      <c r="G45" s="33"/>
      <c r="H45" s="33"/>
      <c r="I45" s="33" t="s">
        <v>26</v>
      </c>
    </row>
    <row r="46" spans="1:10" s="4" customFormat="1" ht="42" customHeight="1" x14ac:dyDescent="0.25">
      <c r="A46" s="148" t="s">
        <v>64</v>
      </c>
      <c r="B46" s="148"/>
      <c r="C46" s="32" t="s">
        <v>65</v>
      </c>
      <c r="D46" s="32" t="s">
        <v>66</v>
      </c>
      <c r="E46" s="111"/>
      <c r="F46" s="33"/>
      <c r="G46" s="33"/>
      <c r="H46" s="33"/>
      <c r="I46" s="37"/>
    </row>
    <row r="47" spans="1:10" s="4" customFormat="1" ht="30" customHeight="1" x14ac:dyDescent="0.25">
      <c r="A47" s="145" t="s">
        <v>67</v>
      </c>
      <c r="B47" s="145"/>
      <c r="C47" s="35" t="s">
        <v>68</v>
      </c>
      <c r="D47" s="35" t="s">
        <v>26</v>
      </c>
      <c r="E47" s="36">
        <v>200</v>
      </c>
      <c r="F47" s="37">
        <f>F48+F58+F65+F69+F76+F78</f>
        <v>4615510.5599999996</v>
      </c>
      <c r="G47" s="37">
        <f>G48+G58+G65+G69+G76+G78</f>
        <v>4544323.7700000005</v>
      </c>
      <c r="H47" s="37">
        <f>H48+H58+H65+H69+H76+H78</f>
        <v>4639523.7699999996</v>
      </c>
      <c r="I47" s="39" t="s">
        <v>26</v>
      </c>
    </row>
    <row r="48" spans="1:10" s="4" customFormat="1" ht="25.5" customHeight="1" x14ac:dyDescent="0.25">
      <c r="A48" s="143" t="s">
        <v>69</v>
      </c>
      <c r="B48" s="143"/>
      <c r="C48" s="40">
        <v>2100</v>
      </c>
      <c r="D48" s="35" t="s">
        <v>26</v>
      </c>
      <c r="E48" s="40">
        <v>210</v>
      </c>
      <c r="F48" s="39">
        <f>F49+F50+F51+F52+F53+F54+F55</f>
        <v>3250812.4699999997</v>
      </c>
      <c r="G48" s="39">
        <f>G49+G50+G51+G52+G53+G54+G55</f>
        <v>3193009.4000000004</v>
      </c>
      <c r="H48" s="39">
        <f>H49+H50+H51+H52+H53+H54+H55</f>
        <v>3193009.4</v>
      </c>
      <c r="I48" s="39" t="s">
        <v>26</v>
      </c>
    </row>
    <row r="49" spans="1:11" s="4" customFormat="1" ht="30" customHeight="1" x14ac:dyDescent="0.25">
      <c r="A49" s="144" t="s">
        <v>70</v>
      </c>
      <c r="B49" s="144"/>
      <c r="C49" s="40">
        <v>2110</v>
      </c>
      <c r="D49" s="40">
        <v>111</v>
      </c>
      <c r="E49" s="40">
        <v>211</v>
      </c>
      <c r="F49" s="92">
        <f>97196.62+84754.22+990273.24+1280508.05</f>
        <v>2452732.13</v>
      </c>
      <c r="G49" s="39">
        <f>1023246+1152426.81+84754.22+97196.62+85598.82+9165.7</f>
        <v>2452388.1700000004</v>
      </c>
      <c r="H49" s="39">
        <f>2357623.65+85598.82+9165.7</f>
        <v>2452388.17</v>
      </c>
      <c r="I49" s="39" t="s">
        <v>26</v>
      </c>
      <c r="J49" s="4">
        <v>211</v>
      </c>
      <c r="K49" s="115">
        <f>983254.21+41927.28+5785.91+1272827.56+181950.84</f>
        <v>2485745.7999999998</v>
      </c>
    </row>
    <row r="50" spans="1:11" s="4" customFormat="1" ht="23.25" customHeight="1" x14ac:dyDescent="0.25">
      <c r="A50" s="144" t="s">
        <v>71</v>
      </c>
      <c r="B50" s="144"/>
      <c r="C50" s="40">
        <v>2120</v>
      </c>
      <c r="D50" s="40">
        <v>112</v>
      </c>
      <c r="E50" s="40">
        <v>266</v>
      </c>
      <c r="F50" s="39">
        <f>41927.28+5785.91</f>
        <v>47713.19</v>
      </c>
      <c r="G50" s="39"/>
      <c r="H50" s="39"/>
      <c r="I50" s="39" t="s">
        <v>26</v>
      </c>
      <c r="K50" s="115"/>
    </row>
    <row r="51" spans="1:11" s="4" customFormat="1" ht="31.5" customHeight="1" x14ac:dyDescent="0.25">
      <c r="A51" s="144" t="s">
        <v>72</v>
      </c>
      <c r="B51" s="144"/>
      <c r="C51" s="40">
        <v>2130</v>
      </c>
      <c r="D51" s="40">
        <v>113</v>
      </c>
      <c r="E51" s="40">
        <v>226</v>
      </c>
      <c r="F51" s="39"/>
      <c r="G51" s="39"/>
      <c r="H51" s="39"/>
      <c r="I51" s="39" t="s">
        <v>26</v>
      </c>
      <c r="K51" s="115"/>
    </row>
    <row r="52" spans="1:11" s="4" customFormat="1" ht="34.5" customHeight="1" x14ac:dyDescent="0.25">
      <c r="A52" s="144" t="s">
        <v>73</v>
      </c>
      <c r="B52" s="144"/>
      <c r="C52" s="40">
        <v>2140</v>
      </c>
      <c r="D52" s="40">
        <v>119</v>
      </c>
      <c r="E52" s="40">
        <v>213</v>
      </c>
      <c r="F52" s="92">
        <f>308704.54+386713.45+29353.38+25595.78</f>
        <v>750367.15</v>
      </c>
      <c r="G52" s="39">
        <f>25595.78+29353.38+309020.29+348032.9+25850.84+2768.04</f>
        <v>740621.23</v>
      </c>
      <c r="H52" s="39">
        <f>712002.35+25850.84+2768.04</f>
        <v>740621.23</v>
      </c>
      <c r="I52" s="39" t="s">
        <v>26</v>
      </c>
      <c r="J52" s="4">
        <v>213</v>
      </c>
      <c r="K52" s="115">
        <f>306584.8+384393.94+54949.16</f>
        <v>745927.9</v>
      </c>
    </row>
    <row r="53" spans="1:11" s="4" customFormat="1" ht="29.25" customHeight="1" x14ac:dyDescent="0.25">
      <c r="A53" s="144" t="s">
        <v>74</v>
      </c>
      <c r="B53" s="144"/>
      <c r="C53" s="40">
        <v>2150</v>
      </c>
      <c r="D53" s="40">
        <v>131</v>
      </c>
      <c r="E53" s="40"/>
      <c r="F53" s="39"/>
      <c r="G53" s="39"/>
      <c r="H53" s="39"/>
      <c r="I53" s="39" t="s">
        <v>26</v>
      </c>
    </row>
    <row r="54" spans="1:11" s="4" customFormat="1" ht="29.25" customHeight="1" x14ac:dyDescent="0.25">
      <c r="A54" s="144" t="s">
        <v>75</v>
      </c>
      <c r="B54" s="144"/>
      <c r="C54" s="40">
        <v>2170</v>
      </c>
      <c r="D54" s="40">
        <v>134</v>
      </c>
      <c r="E54" s="40"/>
      <c r="F54" s="39"/>
      <c r="G54" s="39"/>
      <c r="H54" s="39"/>
      <c r="I54" s="39" t="s">
        <v>26</v>
      </c>
    </row>
    <row r="55" spans="1:11" s="4" customFormat="1" ht="32.25" customHeight="1" x14ac:dyDescent="0.25">
      <c r="A55" s="144" t="s">
        <v>76</v>
      </c>
      <c r="B55" s="144"/>
      <c r="C55" s="40">
        <v>2180</v>
      </c>
      <c r="D55" s="40">
        <v>139</v>
      </c>
      <c r="E55" s="40"/>
      <c r="F55" s="39">
        <f>F56+F57</f>
        <v>0</v>
      </c>
      <c r="G55" s="39">
        <f t="shared" ref="G55:H55" si="1">G56+G57</f>
        <v>0</v>
      </c>
      <c r="H55" s="39">
        <f t="shared" si="1"/>
        <v>0</v>
      </c>
      <c r="I55" s="39" t="s">
        <v>26</v>
      </c>
    </row>
    <row r="56" spans="1:11" s="4" customFormat="1" ht="30" customHeight="1" x14ac:dyDescent="0.25">
      <c r="A56" s="143" t="s">
        <v>77</v>
      </c>
      <c r="B56" s="143"/>
      <c r="C56" s="40">
        <v>2181</v>
      </c>
      <c r="D56" s="40">
        <v>139</v>
      </c>
      <c r="E56" s="40"/>
      <c r="F56" s="39"/>
      <c r="G56" s="39"/>
      <c r="H56" s="39"/>
      <c r="I56" s="39" t="s">
        <v>26</v>
      </c>
    </row>
    <row r="57" spans="1:11" s="4" customFormat="1" ht="16.5" customHeight="1" x14ac:dyDescent="0.25">
      <c r="A57" s="143" t="s">
        <v>78</v>
      </c>
      <c r="B57" s="143"/>
      <c r="C57" s="40">
        <v>2172</v>
      </c>
      <c r="D57" s="40">
        <v>139</v>
      </c>
      <c r="E57" s="40"/>
      <c r="F57" s="39"/>
      <c r="G57" s="39"/>
      <c r="H57" s="39"/>
      <c r="I57" s="39" t="s">
        <v>26</v>
      </c>
    </row>
    <row r="58" spans="1:11" s="4" customFormat="1" ht="17.25" customHeight="1" x14ac:dyDescent="0.25">
      <c r="A58" s="143" t="s">
        <v>79</v>
      </c>
      <c r="B58" s="143"/>
      <c r="C58" s="40">
        <v>2200</v>
      </c>
      <c r="D58" s="40">
        <v>300</v>
      </c>
      <c r="E58" s="40"/>
      <c r="F58" s="39">
        <f>F59+F62+F63+F64</f>
        <v>41000</v>
      </c>
      <c r="G58" s="39">
        <f>G59+G62+G63+G64</f>
        <v>23700</v>
      </c>
      <c r="H58" s="39">
        <f>H59+H62+H63+H64</f>
        <v>23700</v>
      </c>
      <c r="I58" s="39" t="s">
        <v>26</v>
      </c>
    </row>
    <row r="59" spans="1:11" s="4" customFormat="1" ht="45" customHeight="1" x14ac:dyDescent="0.25">
      <c r="A59" s="143" t="s">
        <v>80</v>
      </c>
      <c r="B59" s="143"/>
      <c r="C59" s="40">
        <v>2210</v>
      </c>
      <c r="D59" s="40">
        <v>320</v>
      </c>
      <c r="E59" s="40"/>
      <c r="F59" s="39">
        <f>SUM(F60:F61)</f>
        <v>41000</v>
      </c>
      <c r="G59" s="39">
        <f t="shared" ref="G59:H59" si="2">SUM(G60:G61)</f>
        <v>23700</v>
      </c>
      <c r="H59" s="39">
        <f t="shared" si="2"/>
        <v>23700</v>
      </c>
      <c r="I59" s="39" t="s">
        <v>26</v>
      </c>
    </row>
    <row r="60" spans="1:11" s="4" customFormat="1" ht="43.5" customHeight="1" x14ac:dyDescent="0.25">
      <c r="A60" s="143" t="s">
        <v>81</v>
      </c>
      <c r="B60" s="143"/>
      <c r="C60" s="40">
        <v>2211</v>
      </c>
      <c r="D60" s="40">
        <v>321</v>
      </c>
      <c r="E60" s="40">
        <v>267</v>
      </c>
      <c r="F60" s="39">
        <f>23700+17300</f>
        <v>41000</v>
      </c>
      <c r="G60" s="39">
        <v>23700</v>
      </c>
      <c r="H60" s="39">
        <v>23700</v>
      </c>
      <c r="I60" s="39"/>
    </row>
    <row r="61" spans="1:11" s="4" customFormat="1" ht="30.75" customHeight="1" x14ac:dyDescent="0.25">
      <c r="A61" s="143" t="s">
        <v>82</v>
      </c>
      <c r="B61" s="143"/>
      <c r="C61" s="40">
        <v>2212</v>
      </c>
      <c r="D61" s="40">
        <v>321</v>
      </c>
      <c r="E61" s="40">
        <v>263</v>
      </c>
      <c r="F61" s="39"/>
      <c r="G61" s="39"/>
      <c r="H61" s="39"/>
      <c r="I61" s="39" t="s">
        <v>26</v>
      </c>
    </row>
    <row r="62" spans="1:11" s="4" customFormat="1" ht="33" customHeight="1" x14ac:dyDescent="0.25">
      <c r="A62" s="143" t="s">
        <v>83</v>
      </c>
      <c r="B62" s="143"/>
      <c r="C62" s="40">
        <v>2220</v>
      </c>
      <c r="D62" s="40">
        <v>340</v>
      </c>
      <c r="E62" s="40"/>
      <c r="F62" s="39"/>
      <c r="G62" s="39"/>
      <c r="H62" s="39"/>
      <c r="I62" s="39" t="s">
        <v>26</v>
      </c>
    </row>
    <row r="63" spans="1:11" s="4" customFormat="1" ht="13.5" customHeight="1" x14ac:dyDescent="0.25">
      <c r="A63" s="143" t="s">
        <v>84</v>
      </c>
      <c r="B63" s="143"/>
      <c r="C63" s="40">
        <v>2230</v>
      </c>
      <c r="D63" s="40">
        <v>350</v>
      </c>
      <c r="E63" s="40"/>
      <c r="F63" s="39"/>
      <c r="G63" s="39"/>
      <c r="H63" s="39"/>
      <c r="I63" s="39" t="s">
        <v>26</v>
      </c>
    </row>
    <row r="64" spans="1:11" s="4" customFormat="1" ht="18" customHeight="1" x14ac:dyDescent="0.25">
      <c r="A64" s="143" t="s">
        <v>85</v>
      </c>
      <c r="B64" s="143"/>
      <c r="C64" s="40">
        <v>2240</v>
      </c>
      <c r="D64" s="40">
        <v>360</v>
      </c>
      <c r="E64" s="40"/>
      <c r="F64" s="39"/>
      <c r="G64" s="39"/>
      <c r="H64" s="39"/>
      <c r="I64" s="39" t="s">
        <v>26</v>
      </c>
    </row>
    <row r="65" spans="1:9" s="4" customFormat="1" ht="17.25" customHeight="1" x14ac:dyDescent="0.25">
      <c r="A65" s="143" t="s">
        <v>86</v>
      </c>
      <c r="B65" s="143"/>
      <c r="C65" s="40">
        <v>2300</v>
      </c>
      <c r="D65" s="40">
        <v>850</v>
      </c>
      <c r="E65" s="40"/>
      <c r="F65" s="39">
        <f>SUM(F66:F68)</f>
        <v>9795.43</v>
      </c>
      <c r="G65" s="39">
        <f t="shared" ref="G65:H65" si="3">SUM(G66:G68)</f>
        <v>9060</v>
      </c>
      <c r="H65" s="39">
        <f t="shared" si="3"/>
        <v>9060</v>
      </c>
      <c r="I65" s="39" t="s">
        <v>26</v>
      </c>
    </row>
    <row r="66" spans="1:9" s="4" customFormat="1" ht="27" customHeight="1" x14ac:dyDescent="0.25">
      <c r="A66" s="143" t="s">
        <v>87</v>
      </c>
      <c r="B66" s="143"/>
      <c r="C66" s="40">
        <v>2310</v>
      </c>
      <c r="D66" s="40">
        <v>851</v>
      </c>
      <c r="E66" s="40">
        <v>290</v>
      </c>
      <c r="F66" s="92">
        <v>8208.81</v>
      </c>
      <c r="G66" s="39">
        <v>9000</v>
      </c>
      <c r="H66" s="39">
        <v>9000</v>
      </c>
      <c r="I66" s="41" t="s">
        <v>26</v>
      </c>
    </row>
    <row r="67" spans="1:9" s="4" customFormat="1" ht="33" customHeight="1" x14ac:dyDescent="0.25">
      <c r="A67" s="132" t="s">
        <v>88</v>
      </c>
      <c r="B67" s="132"/>
      <c r="C67" s="42">
        <v>2320</v>
      </c>
      <c r="D67" s="42">
        <v>852</v>
      </c>
      <c r="E67" s="42">
        <v>290</v>
      </c>
      <c r="F67" s="41">
        <v>0</v>
      </c>
      <c r="G67" s="41">
        <v>60</v>
      </c>
      <c r="H67" s="41">
        <v>60</v>
      </c>
      <c r="I67" s="41" t="s">
        <v>26</v>
      </c>
    </row>
    <row r="68" spans="1:9" s="4" customFormat="1" ht="17.25" customHeight="1" x14ac:dyDescent="0.25">
      <c r="A68" s="132" t="s">
        <v>89</v>
      </c>
      <c r="B68" s="132"/>
      <c r="C68" s="42">
        <v>2330</v>
      </c>
      <c r="D68" s="42">
        <v>853</v>
      </c>
      <c r="E68" s="42">
        <v>290</v>
      </c>
      <c r="F68" s="113">
        <f>313.24+3.04+1270.34</f>
        <v>1586.62</v>
      </c>
      <c r="G68" s="41">
        <v>0</v>
      </c>
      <c r="H68" s="41"/>
      <c r="I68" s="41" t="s">
        <v>26</v>
      </c>
    </row>
    <row r="69" spans="1:9" s="4" customFormat="1" ht="15.75" customHeight="1" x14ac:dyDescent="0.25">
      <c r="A69" s="132" t="s">
        <v>90</v>
      </c>
      <c r="B69" s="132"/>
      <c r="C69" s="42">
        <v>2400</v>
      </c>
      <c r="D69" s="42" t="s">
        <v>26</v>
      </c>
      <c r="E69" s="42"/>
      <c r="F69" s="41">
        <f>SUM(F70:F72)</f>
        <v>0</v>
      </c>
      <c r="G69" s="41">
        <f t="shared" ref="G69:H69" si="4">SUM(G70:G72)</f>
        <v>0</v>
      </c>
      <c r="H69" s="41">
        <f t="shared" si="4"/>
        <v>0</v>
      </c>
      <c r="I69" s="41" t="s">
        <v>26</v>
      </c>
    </row>
    <row r="70" spans="1:9" s="4" customFormat="1" ht="29.25" customHeight="1" x14ac:dyDescent="0.25">
      <c r="A70" s="132" t="s">
        <v>91</v>
      </c>
      <c r="B70" s="132"/>
      <c r="C70" s="42">
        <v>2410</v>
      </c>
      <c r="D70" s="42">
        <v>613</v>
      </c>
      <c r="E70" s="42"/>
      <c r="F70" s="41"/>
      <c r="G70" s="41"/>
      <c r="H70" s="41"/>
      <c r="I70" s="41" t="s">
        <v>26</v>
      </c>
    </row>
    <row r="71" spans="1:9" s="4" customFormat="1" ht="16.5" customHeight="1" x14ac:dyDescent="0.25">
      <c r="A71" s="132" t="s">
        <v>92</v>
      </c>
      <c r="B71" s="132"/>
      <c r="C71" s="42">
        <v>2420</v>
      </c>
      <c r="D71" s="42">
        <v>623</v>
      </c>
      <c r="E71" s="42"/>
      <c r="F71" s="41"/>
      <c r="G71" s="41"/>
      <c r="H71" s="41"/>
      <c r="I71" s="41" t="s">
        <v>26</v>
      </c>
    </row>
    <row r="72" spans="1:9" s="4" customFormat="1" ht="28.5" customHeight="1" x14ac:dyDescent="0.25">
      <c r="A72" s="132" t="s">
        <v>93</v>
      </c>
      <c r="B72" s="132"/>
      <c r="C72" s="42">
        <v>2430</v>
      </c>
      <c r="D72" s="42">
        <v>634</v>
      </c>
      <c r="E72" s="42"/>
      <c r="F72" s="41"/>
      <c r="G72" s="41"/>
      <c r="H72" s="41"/>
      <c r="I72" s="41" t="s">
        <v>26</v>
      </c>
    </row>
    <row r="73" spans="1:9" s="4" customFormat="1" ht="15.75" customHeight="1" x14ac:dyDescent="0.25">
      <c r="A73" s="132" t="s">
        <v>94</v>
      </c>
      <c r="B73" s="132"/>
      <c r="C73" s="42">
        <v>2440</v>
      </c>
      <c r="D73" s="42">
        <v>810</v>
      </c>
      <c r="E73" s="42"/>
      <c r="F73" s="41"/>
      <c r="G73" s="41"/>
      <c r="H73" s="41"/>
      <c r="I73" s="41"/>
    </row>
    <row r="74" spans="1:9" s="4" customFormat="1" ht="16.5" customHeight="1" x14ac:dyDescent="0.25">
      <c r="A74" s="141" t="s">
        <v>95</v>
      </c>
      <c r="B74" s="142"/>
      <c r="C74" s="42">
        <v>2450</v>
      </c>
      <c r="D74" s="42">
        <v>862</v>
      </c>
      <c r="E74" s="42"/>
      <c r="F74" s="41"/>
      <c r="G74" s="41"/>
      <c r="H74" s="41"/>
      <c r="I74" s="41"/>
    </row>
    <row r="75" spans="1:9" s="4" customFormat="1" ht="30" customHeight="1" x14ac:dyDescent="0.25">
      <c r="A75" s="141" t="s">
        <v>96</v>
      </c>
      <c r="B75" s="142"/>
      <c r="C75" s="42">
        <v>2460</v>
      </c>
      <c r="D75" s="42">
        <v>863</v>
      </c>
      <c r="E75" s="42"/>
      <c r="F75" s="41"/>
      <c r="G75" s="41"/>
      <c r="H75" s="41"/>
      <c r="I75" s="41" t="s">
        <v>26</v>
      </c>
    </row>
    <row r="76" spans="1:9" s="4" customFormat="1" ht="17.25" customHeight="1" x14ac:dyDescent="0.25">
      <c r="A76" s="132" t="s">
        <v>97</v>
      </c>
      <c r="B76" s="132"/>
      <c r="C76" s="42">
        <v>2500</v>
      </c>
      <c r="D76" s="42" t="s">
        <v>26</v>
      </c>
      <c r="E76" s="42"/>
      <c r="F76" s="41">
        <f>F77</f>
        <v>0</v>
      </c>
      <c r="G76" s="41">
        <f t="shared" ref="G76:H76" si="5">G77</f>
        <v>0</v>
      </c>
      <c r="H76" s="41">
        <f t="shared" si="5"/>
        <v>0</v>
      </c>
      <c r="I76" s="41" t="s">
        <v>26</v>
      </c>
    </row>
    <row r="77" spans="1:9" s="4" customFormat="1" ht="47.25" customHeight="1" x14ac:dyDescent="0.25">
      <c r="A77" s="132" t="s">
        <v>98</v>
      </c>
      <c r="B77" s="132"/>
      <c r="C77" s="42">
        <v>2520</v>
      </c>
      <c r="D77" s="42">
        <v>831</v>
      </c>
      <c r="E77" s="42"/>
      <c r="F77" s="41"/>
      <c r="G77" s="41"/>
      <c r="H77" s="41"/>
      <c r="I77" s="41"/>
    </row>
    <row r="78" spans="1:9" s="4" customFormat="1" ht="20.25" customHeight="1" x14ac:dyDescent="0.25">
      <c r="A78" s="132" t="s">
        <v>99</v>
      </c>
      <c r="B78" s="132"/>
      <c r="C78" s="42">
        <v>2600</v>
      </c>
      <c r="D78" s="42" t="s">
        <v>26</v>
      </c>
      <c r="E78" s="42"/>
      <c r="F78" s="41">
        <f>F79+F80+F81+F91+F89</f>
        <v>1313902.6599999999</v>
      </c>
      <c r="G78" s="41">
        <f>G79+G80+G81+G91+G89</f>
        <v>1318554.3700000001</v>
      </c>
      <c r="H78" s="41">
        <f>H79+H80+H81+H91+H89</f>
        <v>1413754.37</v>
      </c>
      <c r="I78" s="41"/>
    </row>
    <row r="79" spans="1:9" s="4" customFormat="1" ht="31.5" customHeight="1" x14ac:dyDescent="0.25">
      <c r="A79" s="132" t="s">
        <v>100</v>
      </c>
      <c r="B79" s="132"/>
      <c r="C79" s="42">
        <v>2610</v>
      </c>
      <c r="D79" s="42">
        <v>241</v>
      </c>
      <c r="E79" s="42"/>
      <c r="F79" s="41"/>
      <c r="G79" s="41"/>
      <c r="H79" s="41"/>
      <c r="I79" s="41"/>
    </row>
    <row r="80" spans="1:9" s="4" customFormat="1" ht="30.75" customHeight="1" x14ac:dyDescent="0.25">
      <c r="A80" s="132" t="s">
        <v>101</v>
      </c>
      <c r="B80" s="132"/>
      <c r="C80" s="42">
        <v>2630</v>
      </c>
      <c r="D80" s="42">
        <v>243</v>
      </c>
      <c r="E80" s="42"/>
      <c r="F80" s="41"/>
      <c r="G80" s="41"/>
      <c r="H80" s="41"/>
      <c r="I80" s="41"/>
    </row>
    <row r="81" spans="1:11" s="4" customFormat="1" ht="18" customHeight="1" x14ac:dyDescent="0.25">
      <c r="A81" s="132" t="s">
        <v>102</v>
      </c>
      <c r="B81" s="132"/>
      <c r="C81" s="42">
        <v>2640</v>
      </c>
      <c r="D81" s="42">
        <v>244</v>
      </c>
      <c r="E81" s="42"/>
      <c r="F81" s="41">
        <f>F83+F84+F85+F86+F87+F88</f>
        <v>1159244.3999999999</v>
      </c>
      <c r="G81" s="41">
        <f>G83+G84+G85+G86+G87+G88</f>
        <v>1198554.3700000001</v>
      </c>
      <c r="H81" s="41">
        <f>H83+H84+H85+H86+H87+H88</f>
        <v>1293754.3700000001</v>
      </c>
      <c r="I81" s="41"/>
    </row>
    <row r="82" spans="1:11" s="4" customFormat="1" ht="15.75" customHeight="1" x14ac:dyDescent="0.25">
      <c r="A82" s="139" t="s">
        <v>103</v>
      </c>
      <c r="B82" s="140"/>
      <c r="C82" s="42"/>
      <c r="D82" s="43"/>
      <c r="E82" s="42"/>
      <c r="F82" s="41"/>
      <c r="G82" s="41"/>
      <c r="H82" s="41"/>
      <c r="I82" s="41"/>
    </row>
    <row r="83" spans="1:11" s="4" customFormat="1" ht="15.75" customHeight="1" x14ac:dyDescent="0.25">
      <c r="A83" s="135" t="s">
        <v>104</v>
      </c>
      <c r="B83" s="135"/>
      <c r="C83" s="42">
        <v>2641</v>
      </c>
      <c r="D83" s="43" t="s">
        <v>105</v>
      </c>
      <c r="E83" s="42"/>
      <c r="F83" s="114">
        <v>6899.76</v>
      </c>
      <c r="G83" s="41">
        <v>15000</v>
      </c>
      <c r="H83" s="41">
        <v>15000</v>
      </c>
      <c r="I83" s="41"/>
      <c r="J83" s="4">
        <v>221</v>
      </c>
    </row>
    <row r="84" spans="1:11" s="4" customFormat="1" ht="16.5" customHeight="1" x14ac:dyDescent="0.25">
      <c r="A84" s="135" t="s">
        <v>106</v>
      </c>
      <c r="B84" s="135"/>
      <c r="C84" s="42">
        <v>2642</v>
      </c>
      <c r="D84" s="43" t="s">
        <v>105</v>
      </c>
      <c r="E84" s="42"/>
      <c r="F84" s="114">
        <f>45418.8-21085.6-406.99</f>
        <v>23926.210000000003</v>
      </c>
      <c r="G84" s="41">
        <v>33762.379999999997</v>
      </c>
      <c r="H84" s="41">
        <v>33762.379999999997</v>
      </c>
      <c r="I84" s="41"/>
      <c r="J84" s="4">
        <v>223</v>
      </c>
    </row>
    <row r="85" spans="1:11" s="4" customFormat="1" ht="19.5" customHeight="1" x14ac:dyDescent="0.25">
      <c r="A85" s="136" t="s">
        <v>107</v>
      </c>
      <c r="B85" s="137"/>
      <c r="C85" s="44">
        <v>2643</v>
      </c>
      <c r="D85" s="43" t="s">
        <v>105</v>
      </c>
      <c r="E85" s="42"/>
      <c r="F85" s="113">
        <f>12876.1+8063.64+14448+13658.2+32941.77+16390</f>
        <v>98377.709999999992</v>
      </c>
      <c r="G85" s="41">
        <f>67985.59+70700</f>
        <v>138685.59</v>
      </c>
      <c r="H85" s="41">
        <f>67985.59+70700</f>
        <v>138685.59</v>
      </c>
      <c r="I85" s="41"/>
      <c r="J85" s="4">
        <v>225</v>
      </c>
      <c r="K85" s="4">
        <f>26534.3+55453.41+70700</f>
        <v>152687.71000000002</v>
      </c>
    </row>
    <row r="86" spans="1:11" s="4" customFormat="1" ht="17.25" customHeight="1" x14ac:dyDescent="0.25">
      <c r="A86" s="135" t="s">
        <v>108</v>
      </c>
      <c r="B86" s="135"/>
      <c r="C86" s="42">
        <v>2644</v>
      </c>
      <c r="D86" s="43" t="s">
        <v>105</v>
      </c>
      <c r="E86" s="42"/>
      <c r="F86" s="113">
        <f>10000+18527.1+1140.48+274.31+423466.12+63523.2+18932.1</f>
        <v>535863.31000000006</v>
      </c>
      <c r="G86" s="41">
        <f>215008.84+6035.06</f>
        <v>221043.9</v>
      </c>
      <c r="H86" s="41">
        <v>221043.9</v>
      </c>
      <c r="I86" s="41"/>
      <c r="J86" s="4">
        <v>226</v>
      </c>
      <c r="K86" s="4">
        <f>451993.22+64663.68+274.31+18932.1</f>
        <v>535863.30999999994</v>
      </c>
    </row>
    <row r="87" spans="1:11" s="4" customFormat="1" ht="19.5" customHeight="1" x14ac:dyDescent="0.25">
      <c r="A87" s="138" t="s">
        <v>109</v>
      </c>
      <c r="B87" s="138"/>
      <c r="C87" s="44">
        <v>2645</v>
      </c>
      <c r="D87" s="43" t="s">
        <v>105</v>
      </c>
      <c r="E87" s="42"/>
      <c r="F87" s="114">
        <f>107600</f>
        <v>107600</v>
      </c>
      <c r="G87" s="41">
        <v>161800</v>
      </c>
      <c r="H87" s="41">
        <f>205400+10000</f>
        <v>215400</v>
      </c>
      <c r="I87" s="41"/>
      <c r="J87" s="4">
        <v>310</v>
      </c>
    </row>
    <row r="88" spans="1:11" s="4" customFormat="1" ht="19.5" customHeight="1" x14ac:dyDescent="0.25">
      <c r="A88" s="138" t="s">
        <v>110</v>
      </c>
      <c r="B88" s="138"/>
      <c r="C88" s="44">
        <v>2646</v>
      </c>
      <c r="D88" s="43" t="s">
        <v>105</v>
      </c>
      <c r="E88" s="42"/>
      <c r="F88" s="113">
        <f>83639.8+61749.45+61637.66+5203.2+10792.1+128377.12+26659.95+8018.13+500</f>
        <v>386577.41000000003</v>
      </c>
      <c r="G88" s="41">
        <f>170362.5+457900</f>
        <v>628262.5</v>
      </c>
      <c r="H88" s="41">
        <f>170362.5+499500</f>
        <v>669862.5</v>
      </c>
      <c r="I88" s="41"/>
      <c r="J88" s="4">
        <v>340</v>
      </c>
      <c r="K88" s="4">
        <f>94303.35+43394.12+7691.78+61637.66+5203.2+10792.1+128377.12+26659.95+8018.13+500</f>
        <v>386577.41000000003</v>
      </c>
    </row>
    <row r="89" spans="1:11" s="4" customFormat="1" ht="15" customHeight="1" x14ac:dyDescent="0.25">
      <c r="A89" s="135" t="s">
        <v>111</v>
      </c>
      <c r="B89" s="135"/>
      <c r="C89" s="42">
        <v>2650</v>
      </c>
      <c r="D89" s="43" t="s">
        <v>112</v>
      </c>
      <c r="E89" s="42"/>
      <c r="F89" s="41">
        <f>F90</f>
        <v>154658.26</v>
      </c>
      <c r="G89" s="41">
        <f>G90</f>
        <v>120000</v>
      </c>
      <c r="H89" s="41">
        <f>H90</f>
        <v>120000</v>
      </c>
      <c r="I89" s="41"/>
    </row>
    <row r="90" spans="1:11" s="4" customFormat="1" ht="28.5" customHeight="1" x14ac:dyDescent="0.25">
      <c r="A90" s="132" t="s">
        <v>113</v>
      </c>
      <c r="B90" s="132"/>
      <c r="C90" s="42">
        <v>2651</v>
      </c>
      <c r="D90" s="42">
        <v>247</v>
      </c>
      <c r="E90" s="42"/>
      <c r="F90" s="114">
        <f>6622.36+10000+138035.9</f>
        <v>154658.26</v>
      </c>
      <c r="G90" s="41">
        <v>120000</v>
      </c>
      <c r="H90" s="41">
        <v>120000</v>
      </c>
      <c r="I90" s="41">
        <f t="shared" ref="I90" si="6">I91+I92</f>
        <v>0</v>
      </c>
      <c r="J90" s="4" t="s">
        <v>215</v>
      </c>
      <c r="K90" s="4">
        <f>6622.36+35000+131433.11</f>
        <v>173055.46999999997</v>
      </c>
    </row>
    <row r="91" spans="1:11" s="4" customFormat="1" ht="31.5" customHeight="1" x14ac:dyDescent="0.25">
      <c r="A91" s="135" t="s">
        <v>114</v>
      </c>
      <c r="B91" s="135"/>
      <c r="C91" s="42">
        <v>2700</v>
      </c>
      <c r="D91" s="42">
        <v>400</v>
      </c>
      <c r="E91" s="42"/>
      <c r="F91" s="41">
        <f>F92+F93</f>
        <v>0</v>
      </c>
      <c r="G91" s="41">
        <f>G92+G93</f>
        <v>0</v>
      </c>
      <c r="H91" s="41">
        <f>H92+H93</f>
        <v>0</v>
      </c>
      <c r="I91" s="41"/>
    </row>
    <row r="92" spans="1:11" s="4" customFormat="1" ht="44.25" customHeight="1" x14ac:dyDescent="0.25">
      <c r="A92" s="132" t="s">
        <v>115</v>
      </c>
      <c r="B92" s="132"/>
      <c r="C92" s="42">
        <v>2710</v>
      </c>
      <c r="D92" s="42">
        <v>406</v>
      </c>
      <c r="E92" s="42"/>
      <c r="F92" s="41"/>
      <c r="G92" s="41"/>
      <c r="H92" s="41"/>
      <c r="I92" s="41"/>
    </row>
    <row r="93" spans="1:11" s="4" customFormat="1" ht="15" customHeight="1" x14ac:dyDescent="0.25">
      <c r="A93" s="132" t="s">
        <v>116</v>
      </c>
      <c r="B93" s="132"/>
      <c r="C93" s="42">
        <v>2720</v>
      </c>
      <c r="D93" s="42">
        <v>407</v>
      </c>
      <c r="E93" s="42"/>
      <c r="F93" s="41"/>
      <c r="G93" s="41"/>
      <c r="H93" s="41"/>
      <c r="I93" s="45" t="s">
        <v>26</v>
      </c>
    </row>
    <row r="94" spans="1:11" s="4" customFormat="1" ht="20.25" customHeight="1" x14ac:dyDescent="0.25">
      <c r="A94" s="133" t="s">
        <v>117</v>
      </c>
      <c r="B94" s="133"/>
      <c r="C94" s="46">
        <v>3000</v>
      </c>
      <c r="D94" s="46">
        <v>100</v>
      </c>
      <c r="E94" s="42"/>
      <c r="F94" s="45">
        <f>SUM(F95:F97)</f>
        <v>-3524</v>
      </c>
      <c r="G94" s="45">
        <f t="shared" ref="G94:H94" si="7">SUM(G95:G97)</f>
        <v>0</v>
      </c>
      <c r="H94" s="45">
        <f t="shared" si="7"/>
        <v>0</v>
      </c>
      <c r="I94" s="41" t="s">
        <v>26</v>
      </c>
    </row>
    <row r="95" spans="1:11" s="4" customFormat="1" ht="25.5" customHeight="1" x14ac:dyDescent="0.25">
      <c r="A95" s="132" t="s">
        <v>118</v>
      </c>
      <c r="B95" s="132"/>
      <c r="C95" s="42">
        <v>3010</v>
      </c>
      <c r="D95" s="42"/>
      <c r="E95" s="46"/>
      <c r="F95" s="41">
        <v>-3524</v>
      </c>
      <c r="G95" s="41"/>
      <c r="H95" s="41"/>
      <c r="I95" s="41" t="s">
        <v>26</v>
      </c>
    </row>
    <row r="96" spans="1:11" x14ac:dyDescent="0.25">
      <c r="A96" s="132" t="s">
        <v>119</v>
      </c>
      <c r="B96" s="132"/>
      <c r="C96" s="42">
        <v>3020</v>
      </c>
      <c r="D96" s="42"/>
      <c r="E96" s="42"/>
      <c r="F96" s="41"/>
      <c r="G96" s="41"/>
      <c r="H96" s="41"/>
      <c r="I96" s="41" t="s">
        <v>26</v>
      </c>
    </row>
    <row r="97" spans="1:14" x14ac:dyDescent="0.25">
      <c r="A97" s="132" t="s">
        <v>120</v>
      </c>
      <c r="B97" s="132"/>
      <c r="C97" s="42">
        <v>3030</v>
      </c>
      <c r="D97" s="42"/>
      <c r="E97" s="42"/>
      <c r="F97" s="41"/>
      <c r="G97" s="41"/>
      <c r="H97" s="41"/>
      <c r="I97" s="45" t="s">
        <v>26</v>
      </c>
    </row>
    <row r="98" spans="1:14" ht="23.25" customHeight="1" x14ac:dyDescent="0.25">
      <c r="A98" s="133" t="s">
        <v>121</v>
      </c>
      <c r="B98" s="133"/>
      <c r="C98" s="46">
        <v>4000</v>
      </c>
      <c r="D98" s="46" t="s">
        <v>26</v>
      </c>
      <c r="E98" s="42"/>
      <c r="F98" s="45">
        <f>F99</f>
        <v>174356.4</v>
      </c>
      <c r="G98" s="45">
        <f t="shared" ref="G98:H98" si="8">G99</f>
        <v>0</v>
      </c>
      <c r="H98" s="45">
        <f t="shared" si="8"/>
        <v>0</v>
      </c>
      <c r="I98" s="41" t="s">
        <v>26</v>
      </c>
    </row>
    <row r="99" spans="1:14" ht="27.75" customHeight="1" x14ac:dyDescent="0.25">
      <c r="A99" s="132" t="s">
        <v>122</v>
      </c>
      <c r="B99" s="132"/>
      <c r="C99" s="42">
        <v>4010</v>
      </c>
      <c r="D99" s="42">
        <v>610</v>
      </c>
      <c r="E99" s="46"/>
      <c r="F99" s="41">
        <v>174356.4</v>
      </c>
      <c r="G99" s="41"/>
      <c r="H99" s="41"/>
      <c r="I99" s="41"/>
    </row>
    <row r="100" spans="1:14" ht="12.75" customHeight="1" x14ac:dyDescent="0.25">
      <c r="A100" s="47"/>
      <c r="B100" s="48"/>
      <c r="C100" s="49"/>
      <c r="D100" s="49"/>
      <c r="E100" s="50"/>
      <c r="F100" s="51"/>
      <c r="G100" s="51"/>
      <c r="H100" s="51"/>
      <c r="I100" s="52"/>
    </row>
    <row r="101" spans="1:14" ht="21.75" customHeight="1" x14ac:dyDescent="0.25">
      <c r="A101" s="134" t="s">
        <v>123</v>
      </c>
      <c r="B101" s="134"/>
      <c r="C101" s="134"/>
      <c r="D101" s="134"/>
      <c r="E101" s="134"/>
      <c r="F101" s="134"/>
      <c r="G101" s="134"/>
      <c r="H101" s="134"/>
      <c r="I101" s="52"/>
    </row>
    <row r="102" spans="1:14" x14ac:dyDescent="0.25">
      <c r="A102" s="53"/>
      <c r="B102" s="52"/>
      <c r="C102" s="54"/>
      <c r="D102" s="54"/>
      <c r="E102" s="54"/>
      <c r="F102" s="54"/>
      <c r="G102" s="55"/>
      <c r="H102" s="54"/>
      <c r="I102" s="56"/>
    </row>
    <row r="103" spans="1:14" ht="14.25" customHeight="1" x14ac:dyDescent="0.25">
      <c r="A103" s="121" t="s">
        <v>124</v>
      </c>
      <c r="B103" s="121" t="s">
        <v>14</v>
      </c>
      <c r="C103" s="121" t="s">
        <v>125</v>
      </c>
      <c r="D103" s="121" t="s">
        <v>126</v>
      </c>
      <c r="E103" s="124" t="s">
        <v>16</v>
      </c>
      <c r="F103" s="127" t="s">
        <v>18</v>
      </c>
      <c r="G103" s="128"/>
      <c r="H103" s="128"/>
      <c r="I103" s="129"/>
    </row>
    <row r="104" spans="1:14" ht="22.5" customHeight="1" x14ac:dyDescent="0.25">
      <c r="A104" s="122"/>
      <c r="B104" s="122"/>
      <c r="C104" s="122"/>
      <c r="D104" s="122"/>
      <c r="E104" s="125"/>
      <c r="F104" s="121" t="s">
        <v>19</v>
      </c>
      <c r="G104" s="111" t="s">
        <v>179</v>
      </c>
      <c r="H104" s="111" t="s">
        <v>193</v>
      </c>
      <c r="I104" s="130" t="s">
        <v>20</v>
      </c>
    </row>
    <row r="105" spans="1:14" ht="44.25" customHeight="1" x14ac:dyDescent="0.25">
      <c r="A105" s="123"/>
      <c r="B105" s="123"/>
      <c r="C105" s="123"/>
      <c r="D105" s="123"/>
      <c r="E105" s="126"/>
      <c r="F105" s="123"/>
      <c r="G105" s="111" t="s">
        <v>22</v>
      </c>
      <c r="H105" s="111" t="s">
        <v>23</v>
      </c>
      <c r="I105" s="131"/>
    </row>
    <row r="106" spans="1:14" x14ac:dyDescent="0.25">
      <c r="A106" s="57">
        <v>1</v>
      </c>
      <c r="B106" s="111">
        <v>2</v>
      </c>
      <c r="C106" s="111">
        <v>3</v>
      </c>
      <c r="D106" s="111">
        <v>4</v>
      </c>
      <c r="E106" s="32" t="s">
        <v>127</v>
      </c>
      <c r="F106" s="111">
        <v>5</v>
      </c>
      <c r="G106" s="111">
        <v>6</v>
      </c>
      <c r="H106" s="111">
        <v>7</v>
      </c>
      <c r="I106" s="58">
        <v>8</v>
      </c>
    </row>
    <row r="107" spans="1:14" ht="22.5" customHeight="1" x14ac:dyDescent="0.25">
      <c r="A107" s="57">
        <v>1</v>
      </c>
      <c r="B107" s="59" t="s">
        <v>128</v>
      </c>
      <c r="C107" s="60">
        <v>26000</v>
      </c>
      <c r="D107" s="60" t="s">
        <v>26</v>
      </c>
      <c r="E107" s="61" t="s">
        <v>26</v>
      </c>
      <c r="F107" s="62">
        <f>F108+F109+F110+F114</f>
        <v>1313902.6599999999</v>
      </c>
      <c r="G107" s="62">
        <f>G108+G109+G110+G114</f>
        <v>1318554.3700000001</v>
      </c>
      <c r="H107" s="62">
        <f t="shared" ref="H107" si="9">H108+H109+H110+H114</f>
        <v>1413754.37</v>
      </c>
      <c r="I107" s="39"/>
      <c r="J107" s="2" t="s">
        <v>214</v>
      </c>
    </row>
    <row r="108" spans="1:14" ht="183.75" customHeight="1" x14ac:dyDescent="0.25">
      <c r="A108" s="63" t="s">
        <v>129</v>
      </c>
      <c r="B108" s="64" t="s">
        <v>182</v>
      </c>
      <c r="C108" s="65">
        <v>26100</v>
      </c>
      <c r="D108" s="40" t="s">
        <v>26</v>
      </c>
      <c r="E108" s="22" t="s">
        <v>26</v>
      </c>
      <c r="F108" s="39">
        <f>500-225.69</f>
        <v>274.31</v>
      </c>
      <c r="G108" s="39"/>
      <c r="H108" s="39"/>
      <c r="I108" s="39"/>
    </row>
    <row r="109" spans="1:14" ht="43.5" customHeight="1" x14ac:dyDescent="0.25">
      <c r="A109" s="63" t="s">
        <v>130</v>
      </c>
      <c r="B109" s="64" t="s">
        <v>131</v>
      </c>
      <c r="C109" s="65">
        <v>26200</v>
      </c>
      <c r="D109" s="40" t="s">
        <v>26</v>
      </c>
      <c r="E109" s="22" t="s">
        <v>26</v>
      </c>
      <c r="F109" s="39"/>
      <c r="G109" s="39"/>
      <c r="H109" s="39"/>
      <c r="I109" s="39"/>
    </row>
    <row r="110" spans="1:14" ht="46.5" customHeight="1" x14ac:dyDescent="0.25">
      <c r="A110" s="63" t="s">
        <v>132</v>
      </c>
      <c r="B110" s="64" t="s">
        <v>133</v>
      </c>
      <c r="C110" s="65">
        <v>26300</v>
      </c>
      <c r="D110" s="40" t="s">
        <v>26</v>
      </c>
      <c r="E110" s="22" t="s">
        <v>26</v>
      </c>
      <c r="F110" s="92">
        <f>23926.21+8063.64+14448+32941.77+1140.48+63523.2+61637.66+6899.76+6622.36+138035.9+26659.95+500</f>
        <v>384398.93</v>
      </c>
      <c r="G110" s="39">
        <v>0</v>
      </c>
      <c r="H110" s="39">
        <v>0</v>
      </c>
      <c r="I110" s="39"/>
      <c r="J110" s="2">
        <v>130</v>
      </c>
      <c r="K110" s="2">
        <f>23926.21+55453.41+64663.68+61637.66+6899.76+6622.36+131433.11+500+26659.95</f>
        <v>377796.13999999996</v>
      </c>
    </row>
    <row r="111" spans="1:14" ht="17.25" customHeight="1" x14ac:dyDescent="0.25">
      <c r="A111" s="66" t="s">
        <v>134</v>
      </c>
      <c r="B111" s="64" t="s">
        <v>135</v>
      </c>
      <c r="C111" s="65">
        <v>26310</v>
      </c>
      <c r="D111" s="40" t="s">
        <v>26</v>
      </c>
      <c r="E111" s="22" t="s">
        <v>26</v>
      </c>
      <c r="F111" s="39">
        <f>F110</f>
        <v>384398.93</v>
      </c>
      <c r="G111" s="39"/>
      <c r="H111" s="39"/>
      <c r="I111" s="39"/>
      <c r="L111" s="21"/>
      <c r="M111" s="21"/>
      <c r="N111" s="21"/>
    </row>
    <row r="112" spans="1:14" ht="16.5" customHeight="1" x14ac:dyDescent="0.25">
      <c r="A112" s="66"/>
      <c r="B112" s="64" t="s">
        <v>136</v>
      </c>
      <c r="C112" s="65" t="s">
        <v>137</v>
      </c>
      <c r="D112" s="40" t="s">
        <v>26</v>
      </c>
      <c r="E112" s="22">
        <v>150</v>
      </c>
      <c r="F112" s="39"/>
      <c r="G112" s="39"/>
      <c r="H112" s="39"/>
      <c r="I112" s="39"/>
      <c r="L112" s="21"/>
      <c r="M112" s="21"/>
      <c r="N112" s="21"/>
    </row>
    <row r="113" spans="1:14" ht="20.25" customHeight="1" x14ac:dyDescent="0.25">
      <c r="A113" s="66" t="s">
        <v>138</v>
      </c>
      <c r="B113" s="64" t="s">
        <v>139</v>
      </c>
      <c r="C113" s="65">
        <v>26320</v>
      </c>
      <c r="D113" s="40" t="s">
        <v>26</v>
      </c>
      <c r="E113" s="22" t="s">
        <v>26</v>
      </c>
      <c r="F113" s="39"/>
      <c r="G113" s="39"/>
      <c r="H113" s="39"/>
      <c r="I113" s="39"/>
      <c r="L113" s="21"/>
      <c r="M113" s="85"/>
      <c r="N113" s="21"/>
    </row>
    <row r="114" spans="1:14" ht="45" customHeight="1" x14ac:dyDescent="0.25">
      <c r="A114" s="63" t="s">
        <v>140</v>
      </c>
      <c r="B114" s="64" t="s">
        <v>141</v>
      </c>
      <c r="C114" s="65">
        <v>26400</v>
      </c>
      <c r="D114" s="40" t="s">
        <v>26</v>
      </c>
      <c r="E114" s="22" t="s">
        <v>26</v>
      </c>
      <c r="F114" s="39">
        <f>F115+F118+F122+F124+F127</f>
        <v>929229.41999999993</v>
      </c>
      <c r="G114" s="39">
        <f>G115+G118+G122+G124+G127</f>
        <v>1318554.3700000001</v>
      </c>
      <c r="H114" s="39">
        <f>H115+H118+H122+H124+H127</f>
        <v>1413754.37</v>
      </c>
      <c r="I114" s="39"/>
      <c r="J114" s="6" t="s">
        <v>188</v>
      </c>
      <c r="L114" s="86"/>
      <c r="M114" s="86"/>
      <c r="N114" s="21"/>
    </row>
    <row r="115" spans="1:14" ht="44.25" customHeight="1" x14ac:dyDescent="0.25">
      <c r="A115" s="66" t="s">
        <v>142</v>
      </c>
      <c r="B115" s="64" t="s">
        <v>143</v>
      </c>
      <c r="C115" s="65">
        <v>26410</v>
      </c>
      <c r="D115" s="40" t="s">
        <v>26</v>
      </c>
      <c r="E115" s="22" t="s">
        <v>26</v>
      </c>
      <c r="F115" s="39">
        <f>F116+F117</f>
        <v>658052.06999999995</v>
      </c>
      <c r="G115" s="39">
        <f>G116+G117</f>
        <v>925691.87000000011</v>
      </c>
      <c r="H115" s="39">
        <f t="shared" ref="H115" si="10">H116+H117</f>
        <v>967291.87000000011</v>
      </c>
      <c r="I115" s="39"/>
      <c r="L115" s="86"/>
      <c r="M115" s="86"/>
      <c r="N115" s="21"/>
    </row>
    <row r="116" spans="1:14" ht="29.25" customHeight="1" x14ac:dyDescent="0.25">
      <c r="A116" s="66" t="s">
        <v>144</v>
      </c>
      <c r="B116" s="64" t="s">
        <v>145</v>
      </c>
      <c r="C116" s="65">
        <v>26411</v>
      </c>
      <c r="D116" s="40" t="s">
        <v>26</v>
      </c>
      <c r="E116" s="22" t="s">
        <v>26</v>
      </c>
      <c r="F116" s="39">
        <f>F78-F110-F118-F127-F108</f>
        <v>658052.06999999995</v>
      </c>
      <c r="G116" s="39">
        <f>G78-G110-G118-G127</f>
        <v>925691.87000000011</v>
      </c>
      <c r="H116" s="39">
        <f>H78-H110-H118-H127</f>
        <v>967291.87000000011</v>
      </c>
      <c r="I116" s="39"/>
      <c r="L116" s="86"/>
      <c r="M116" s="86"/>
      <c r="N116" s="21"/>
    </row>
    <row r="117" spans="1:14" ht="22.5" customHeight="1" x14ac:dyDescent="0.25">
      <c r="A117" s="66" t="s">
        <v>146</v>
      </c>
      <c r="B117" s="64" t="s">
        <v>147</v>
      </c>
      <c r="C117" s="40">
        <v>26412</v>
      </c>
      <c r="D117" s="40" t="s">
        <v>26</v>
      </c>
      <c r="E117" s="22" t="s">
        <v>26</v>
      </c>
      <c r="F117" s="39"/>
      <c r="G117" s="39"/>
      <c r="H117" s="39"/>
      <c r="I117" s="39"/>
      <c r="L117" s="86"/>
      <c r="M117" s="86"/>
      <c r="N117" s="21"/>
    </row>
    <row r="118" spans="1:14" ht="45.75" customHeight="1" x14ac:dyDescent="0.25">
      <c r="A118" s="66" t="s">
        <v>148</v>
      </c>
      <c r="B118" s="64" t="s">
        <v>149</v>
      </c>
      <c r="C118" s="65">
        <v>26420</v>
      </c>
      <c r="D118" s="40" t="s">
        <v>26</v>
      </c>
      <c r="E118" s="22" t="s">
        <v>26</v>
      </c>
      <c r="F118" s="39">
        <f>F119+F121</f>
        <v>123990</v>
      </c>
      <c r="G118" s="39">
        <f>G119+G121</f>
        <v>222500</v>
      </c>
      <c r="H118" s="39">
        <f t="shared" ref="H118" si="11">H119+H121</f>
        <v>276100</v>
      </c>
      <c r="I118" s="39"/>
      <c r="L118" s="86"/>
      <c r="M118" s="87"/>
      <c r="N118" s="21"/>
    </row>
    <row r="119" spans="1:14" ht="27.75" customHeight="1" x14ac:dyDescent="0.25">
      <c r="A119" s="66" t="s">
        <v>150</v>
      </c>
      <c r="B119" s="64" t="s">
        <v>145</v>
      </c>
      <c r="C119" s="65">
        <v>26421</v>
      </c>
      <c r="D119" s="40" t="s">
        <v>26</v>
      </c>
      <c r="E119" s="22" t="s">
        <v>26</v>
      </c>
      <c r="F119" s="39">
        <f>F34-F36-F37-F35</f>
        <v>123990</v>
      </c>
      <c r="G119" s="39">
        <f>G34-G36-G37-G35</f>
        <v>222500</v>
      </c>
      <c r="H119" s="39">
        <f>H34-H36-H37-H35</f>
        <v>276100</v>
      </c>
      <c r="I119" s="39"/>
      <c r="L119" s="86"/>
      <c r="M119" s="87"/>
      <c r="N119" s="21"/>
    </row>
    <row r="120" spans="1:14" x14ac:dyDescent="0.25">
      <c r="A120" s="66"/>
      <c r="B120" s="64" t="s">
        <v>136</v>
      </c>
      <c r="C120" s="65" t="s">
        <v>151</v>
      </c>
      <c r="D120" s="40" t="s">
        <v>26</v>
      </c>
      <c r="E120" s="22">
        <v>150</v>
      </c>
      <c r="F120" s="39">
        <f>F119</f>
        <v>123990</v>
      </c>
      <c r="G120" s="39">
        <f>G119</f>
        <v>222500</v>
      </c>
      <c r="H120" s="39">
        <f>H119</f>
        <v>276100</v>
      </c>
      <c r="I120" s="39"/>
      <c r="L120" s="87"/>
      <c r="M120" s="88"/>
      <c r="N120" s="21"/>
    </row>
    <row r="121" spans="1:14" ht="18" customHeight="1" x14ac:dyDescent="0.25">
      <c r="A121" s="67" t="s">
        <v>152</v>
      </c>
      <c r="B121" s="64" t="s">
        <v>147</v>
      </c>
      <c r="C121" s="65">
        <v>26422</v>
      </c>
      <c r="D121" s="40" t="s">
        <v>26</v>
      </c>
      <c r="E121" s="22" t="s">
        <v>26</v>
      </c>
      <c r="F121" s="39"/>
      <c r="G121" s="39"/>
      <c r="H121" s="39"/>
      <c r="I121" s="39"/>
      <c r="L121" s="21"/>
      <c r="M121" s="21"/>
      <c r="N121" s="21"/>
    </row>
    <row r="122" spans="1:14" ht="28.5" customHeight="1" x14ac:dyDescent="0.25">
      <c r="A122" s="66" t="s">
        <v>153</v>
      </c>
      <c r="B122" s="64" t="s">
        <v>154</v>
      </c>
      <c r="C122" s="65">
        <v>26430</v>
      </c>
      <c r="D122" s="40" t="s">
        <v>26</v>
      </c>
      <c r="E122" s="22" t="s">
        <v>26</v>
      </c>
      <c r="F122" s="39"/>
      <c r="G122" s="39"/>
      <c r="H122" s="39"/>
      <c r="I122" s="39"/>
      <c r="L122" s="21"/>
      <c r="M122" s="21"/>
      <c r="N122" s="21"/>
    </row>
    <row r="123" spans="1:14" ht="16.5" customHeight="1" x14ac:dyDescent="0.25">
      <c r="A123" s="66"/>
      <c r="B123" s="64" t="s">
        <v>136</v>
      </c>
      <c r="C123" s="65" t="s">
        <v>155</v>
      </c>
      <c r="D123" s="40" t="s">
        <v>26</v>
      </c>
      <c r="E123" s="22">
        <v>150</v>
      </c>
      <c r="F123" s="39"/>
      <c r="G123" s="39"/>
      <c r="H123" s="39"/>
      <c r="I123" s="39">
        <f t="shared" ref="G123:K124" si="12">I124+I125</f>
        <v>0</v>
      </c>
      <c r="L123" s="21"/>
      <c r="M123" s="21"/>
      <c r="N123" s="21"/>
    </row>
    <row r="124" spans="1:14" ht="16.5" customHeight="1" x14ac:dyDescent="0.25">
      <c r="A124" s="66" t="s">
        <v>156</v>
      </c>
      <c r="B124" s="64" t="s">
        <v>157</v>
      </c>
      <c r="C124" s="65">
        <v>26440</v>
      </c>
      <c r="D124" s="40" t="s">
        <v>26</v>
      </c>
      <c r="E124" s="22" t="s">
        <v>26</v>
      </c>
      <c r="F124" s="39">
        <f>F125+F126</f>
        <v>0</v>
      </c>
      <c r="G124" s="39">
        <f t="shared" si="12"/>
        <v>0</v>
      </c>
      <c r="H124" s="39">
        <f t="shared" si="12"/>
        <v>0</v>
      </c>
      <c r="I124" s="39"/>
      <c r="L124" s="21"/>
      <c r="M124" s="21"/>
      <c r="N124" s="21"/>
    </row>
    <row r="125" spans="1:14" ht="29.25" customHeight="1" x14ac:dyDescent="0.25">
      <c r="A125" s="66" t="s">
        <v>158</v>
      </c>
      <c r="B125" s="64" t="s">
        <v>145</v>
      </c>
      <c r="C125" s="65">
        <v>26441</v>
      </c>
      <c r="D125" s="40" t="s">
        <v>26</v>
      </c>
      <c r="E125" s="22" t="s">
        <v>26</v>
      </c>
      <c r="F125" s="39"/>
      <c r="G125" s="39"/>
      <c r="H125" s="39"/>
      <c r="I125" s="39"/>
      <c r="L125" s="21"/>
      <c r="M125" s="21"/>
      <c r="N125" s="21"/>
    </row>
    <row r="126" spans="1:14" ht="18.75" customHeight="1" x14ac:dyDescent="0.25">
      <c r="A126" s="67" t="s">
        <v>159</v>
      </c>
      <c r="B126" s="64" t="s">
        <v>147</v>
      </c>
      <c r="C126" s="65">
        <v>26442</v>
      </c>
      <c r="D126" s="40" t="s">
        <v>26</v>
      </c>
      <c r="E126" s="22" t="s">
        <v>26</v>
      </c>
      <c r="F126" s="39"/>
      <c r="G126" s="39"/>
      <c r="H126" s="39"/>
      <c r="I126" s="39">
        <f t="shared" ref="G126:K127" si="13">I127+I129</f>
        <v>0</v>
      </c>
      <c r="L126" s="21"/>
      <c r="M126" s="21"/>
      <c r="N126" s="21"/>
    </row>
    <row r="127" spans="1:14" ht="18.75" customHeight="1" x14ac:dyDescent="0.25">
      <c r="A127" s="67" t="s">
        <v>160</v>
      </c>
      <c r="B127" s="64" t="s">
        <v>161</v>
      </c>
      <c r="C127" s="65">
        <v>26450</v>
      </c>
      <c r="D127" s="40" t="s">
        <v>26</v>
      </c>
      <c r="E127" s="22" t="s">
        <v>26</v>
      </c>
      <c r="F127" s="39">
        <f>F128+F130</f>
        <v>147187.35</v>
      </c>
      <c r="G127" s="39">
        <f t="shared" si="13"/>
        <v>170362.5</v>
      </c>
      <c r="H127" s="39">
        <f t="shared" si="13"/>
        <v>170362.5</v>
      </c>
      <c r="I127" s="39"/>
      <c r="L127" s="21"/>
      <c r="M127" s="21"/>
      <c r="N127" s="21"/>
    </row>
    <row r="128" spans="1:14" ht="25.5" customHeight="1" x14ac:dyDescent="0.25">
      <c r="A128" s="67" t="s">
        <v>162</v>
      </c>
      <c r="B128" s="64" t="s">
        <v>145</v>
      </c>
      <c r="C128" s="65">
        <v>26451</v>
      </c>
      <c r="D128" s="40" t="s">
        <v>26</v>
      </c>
      <c r="E128" s="22" t="s">
        <v>26</v>
      </c>
      <c r="F128" s="117">
        <f>10792.1+128377.12+8018.13</f>
        <v>147187.35</v>
      </c>
      <c r="G128" s="39">
        <v>170362.5</v>
      </c>
      <c r="H128" s="39">
        <v>170362.5</v>
      </c>
      <c r="I128" s="39"/>
      <c r="J128" s="2" t="s">
        <v>218</v>
      </c>
      <c r="K128" s="2">
        <f>10792.1+128377.12+8018.13</f>
        <v>147187.35</v>
      </c>
      <c r="L128" s="21"/>
      <c r="M128" s="21"/>
      <c r="N128" s="21"/>
    </row>
    <row r="129" spans="1:14" ht="13.5" customHeight="1" x14ac:dyDescent="0.25">
      <c r="A129" s="67"/>
      <c r="B129" s="64" t="s">
        <v>136</v>
      </c>
      <c r="C129" s="65" t="s">
        <v>163</v>
      </c>
      <c r="D129" s="40" t="s">
        <v>26</v>
      </c>
      <c r="E129" s="22">
        <v>150</v>
      </c>
      <c r="F129" s="39"/>
      <c r="G129" s="39"/>
      <c r="H129" s="39"/>
      <c r="I129" s="39"/>
      <c r="L129" s="21"/>
      <c r="M129" s="21"/>
      <c r="N129" s="21"/>
    </row>
    <row r="130" spans="1:14" ht="16.5" customHeight="1" x14ac:dyDescent="0.25">
      <c r="A130" s="67" t="s">
        <v>164</v>
      </c>
      <c r="B130" s="64" t="s">
        <v>147</v>
      </c>
      <c r="C130" s="65">
        <v>26452</v>
      </c>
      <c r="D130" s="40" t="s">
        <v>26</v>
      </c>
      <c r="E130" s="22" t="s">
        <v>26</v>
      </c>
      <c r="F130" s="39"/>
      <c r="G130" s="39"/>
      <c r="H130" s="39"/>
      <c r="I130" s="39">
        <f>I131</f>
        <v>0</v>
      </c>
      <c r="L130" s="21"/>
      <c r="M130" s="21"/>
      <c r="N130" s="21"/>
    </row>
    <row r="131" spans="1:14" ht="44.25" customHeight="1" x14ac:dyDescent="0.25">
      <c r="A131" s="67" t="s">
        <v>165</v>
      </c>
      <c r="B131" s="64" t="s">
        <v>166</v>
      </c>
      <c r="C131" s="65">
        <v>26500</v>
      </c>
      <c r="D131" s="40" t="s">
        <v>26</v>
      </c>
      <c r="E131" s="22" t="s">
        <v>26</v>
      </c>
      <c r="F131" s="92">
        <f>F133+F134+F135</f>
        <v>929229.41999999993</v>
      </c>
      <c r="G131" s="39">
        <f>G133+G134+G135</f>
        <v>1318554.3700000001</v>
      </c>
      <c r="H131" s="39">
        <f>H133+H134+H135</f>
        <v>1413754.37</v>
      </c>
      <c r="I131" s="39"/>
      <c r="J131" s="2" t="s">
        <v>219</v>
      </c>
      <c r="L131" s="21"/>
      <c r="M131" s="21"/>
      <c r="N131" s="21"/>
    </row>
    <row r="132" spans="1:14" ht="19.5" customHeight="1" x14ac:dyDescent="0.25">
      <c r="A132" s="67"/>
      <c r="B132" s="64" t="s">
        <v>167</v>
      </c>
      <c r="C132" s="65">
        <v>26510</v>
      </c>
      <c r="D132" s="40" t="s">
        <v>26</v>
      </c>
      <c r="E132" s="22" t="s">
        <v>26</v>
      </c>
      <c r="F132" s="39"/>
      <c r="G132" s="39"/>
      <c r="H132" s="39"/>
      <c r="I132" s="39"/>
      <c r="L132" s="21"/>
      <c r="M132" s="21"/>
      <c r="N132" s="21"/>
    </row>
    <row r="133" spans="1:14" ht="17.25" customHeight="1" x14ac:dyDescent="0.25">
      <c r="A133" s="67" t="s">
        <v>168</v>
      </c>
      <c r="B133" s="64" t="s">
        <v>169</v>
      </c>
      <c r="C133" s="65">
        <v>26520</v>
      </c>
      <c r="D133" s="40">
        <v>2023</v>
      </c>
      <c r="E133" s="22"/>
      <c r="F133" s="39">
        <f>F114</f>
        <v>929229.41999999993</v>
      </c>
      <c r="G133" s="39"/>
      <c r="H133" s="39"/>
      <c r="I133" s="39"/>
      <c r="L133" s="21"/>
      <c r="M133" s="21"/>
      <c r="N133" s="21"/>
    </row>
    <row r="134" spans="1:14" ht="14.25" customHeight="1" x14ac:dyDescent="0.25">
      <c r="A134" s="67" t="s">
        <v>170</v>
      </c>
      <c r="B134" s="64" t="s">
        <v>169</v>
      </c>
      <c r="C134" s="65">
        <v>26530</v>
      </c>
      <c r="D134" s="40">
        <v>2024</v>
      </c>
      <c r="E134" s="22"/>
      <c r="F134" s="39"/>
      <c r="G134" s="39">
        <f>G114-G133-G135</f>
        <v>1318554.3700000001</v>
      </c>
      <c r="H134" s="39"/>
      <c r="I134" s="39"/>
      <c r="L134" s="21"/>
      <c r="M134" s="21"/>
      <c r="N134" s="21"/>
    </row>
    <row r="135" spans="1:14" ht="15" customHeight="1" x14ac:dyDescent="0.25">
      <c r="A135" s="67" t="s">
        <v>171</v>
      </c>
      <c r="B135" s="64" t="s">
        <v>169</v>
      </c>
      <c r="C135" s="65">
        <v>26540</v>
      </c>
      <c r="D135" s="40">
        <v>2025</v>
      </c>
      <c r="E135" s="22"/>
      <c r="F135" s="39"/>
      <c r="G135" s="39"/>
      <c r="H135" s="39">
        <f>H114</f>
        <v>1413754.37</v>
      </c>
      <c r="I135" s="39">
        <f>I136+I137</f>
        <v>0</v>
      </c>
      <c r="L135" s="21"/>
      <c r="M135" s="21"/>
      <c r="N135" s="21"/>
    </row>
    <row r="136" spans="1:14" ht="44.25" customHeight="1" x14ac:dyDescent="0.25">
      <c r="A136" s="67" t="s">
        <v>172</v>
      </c>
      <c r="B136" s="64" t="s">
        <v>173</v>
      </c>
      <c r="C136" s="65">
        <v>26600</v>
      </c>
      <c r="D136" s="40" t="s">
        <v>26</v>
      </c>
      <c r="E136" s="22" t="s">
        <v>26</v>
      </c>
      <c r="F136" s="39">
        <f>F137+F138</f>
        <v>0</v>
      </c>
      <c r="G136" s="39">
        <f>G137+G138</f>
        <v>0</v>
      </c>
      <c r="H136" s="39">
        <f>H137+H138</f>
        <v>0</v>
      </c>
      <c r="I136" s="39"/>
      <c r="L136" s="21"/>
      <c r="M136" s="21"/>
      <c r="N136" s="21"/>
    </row>
    <row r="137" spans="1:14" x14ac:dyDescent="0.25">
      <c r="A137" s="67"/>
      <c r="B137" s="64" t="s">
        <v>167</v>
      </c>
      <c r="C137" s="65">
        <v>26610</v>
      </c>
      <c r="D137" s="40"/>
      <c r="E137" s="22"/>
      <c r="F137" s="39"/>
      <c r="G137" s="39"/>
      <c r="H137" s="39"/>
      <c r="I137" s="39"/>
      <c r="L137" s="21"/>
      <c r="M137" s="21"/>
      <c r="N137" s="21"/>
    </row>
    <row r="138" spans="1:14" x14ac:dyDescent="0.25">
      <c r="A138" s="67"/>
      <c r="B138" s="64"/>
      <c r="C138" s="40"/>
      <c r="D138" s="40"/>
      <c r="E138" s="22"/>
      <c r="F138" s="39"/>
      <c r="G138" s="39"/>
      <c r="H138" s="39"/>
      <c r="I138" s="68"/>
      <c r="L138" s="21"/>
      <c r="M138" s="21"/>
      <c r="N138" s="21"/>
    </row>
    <row r="139" spans="1:14" x14ac:dyDescent="0.25">
      <c r="A139" s="69"/>
      <c r="B139" s="70"/>
      <c r="C139" s="71"/>
      <c r="D139" s="71"/>
      <c r="E139" s="71"/>
      <c r="F139" s="71"/>
      <c r="G139" s="71"/>
      <c r="H139" s="71"/>
      <c r="I139" s="19"/>
      <c r="L139" s="21"/>
      <c r="M139" s="21"/>
      <c r="N139" s="21"/>
    </row>
    <row r="140" spans="1:14" ht="18.75" x14ac:dyDescent="0.3">
      <c r="A140" s="72" t="s">
        <v>185</v>
      </c>
      <c r="B140" s="73"/>
      <c r="C140" s="73"/>
      <c r="D140" s="74"/>
      <c r="E140" s="21"/>
      <c r="F140" s="75" t="s">
        <v>186</v>
      </c>
      <c r="G140" s="75"/>
      <c r="H140" s="19"/>
      <c r="I140" s="19"/>
      <c r="L140" s="21"/>
      <c r="M140" s="21"/>
      <c r="N140" s="21"/>
    </row>
    <row r="141" spans="1:14" ht="18.75" x14ac:dyDescent="0.25">
      <c r="A141" s="76"/>
      <c r="B141" s="76"/>
      <c r="C141" s="76"/>
      <c r="D141" s="77" t="s">
        <v>174</v>
      </c>
      <c r="E141" s="19"/>
      <c r="F141" s="78" t="s">
        <v>175</v>
      </c>
      <c r="G141" s="79"/>
      <c r="H141" s="19"/>
      <c r="I141" s="19"/>
      <c r="J141"/>
      <c r="L141" s="21"/>
      <c r="M141" s="21"/>
      <c r="N141" s="21"/>
    </row>
    <row r="142" spans="1:14" ht="18.75" x14ac:dyDescent="0.3">
      <c r="A142" s="72"/>
      <c r="B142" s="73"/>
      <c r="C142" s="73"/>
      <c r="D142" s="74"/>
      <c r="E142" s="21"/>
      <c r="F142" s="75" t="s">
        <v>176</v>
      </c>
      <c r="G142" s="75"/>
      <c r="H142" s="19"/>
      <c r="I142" s="19"/>
      <c r="J142"/>
    </row>
    <row r="143" spans="1:14" ht="18.75" x14ac:dyDescent="0.25">
      <c r="A143" s="76" t="s">
        <v>177</v>
      </c>
      <c r="B143" s="76"/>
      <c r="C143" s="76"/>
      <c r="D143" s="77" t="s">
        <v>174</v>
      </c>
      <c r="E143" s="19"/>
      <c r="F143" s="78" t="s">
        <v>175</v>
      </c>
      <c r="G143" s="79"/>
      <c r="H143" s="19"/>
      <c r="I143" s="19"/>
      <c r="J143"/>
    </row>
    <row r="144" spans="1:14" ht="18.75" x14ac:dyDescent="0.25">
      <c r="A144" s="76"/>
      <c r="B144" s="76"/>
      <c r="C144" s="76"/>
      <c r="D144" s="77"/>
      <c r="E144" s="19"/>
      <c r="F144" s="78"/>
      <c r="G144" s="78"/>
      <c r="H144" s="19"/>
      <c r="I144" s="19"/>
      <c r="J144"/>
    </row>
    <row r="145" spans="1:9" ht="17.25" customHeight="1" x14ac:dyDescent="0.3">
      <c r="A145" s="80" t="s">
        <v>213</v>
      </c>
      <c r="B145" s="80"/>
      <c r="C145" s="80"/>
      <c r="D145" s="80"/>
      <c r="E145" s="81"/>
      <c r="F145" s="81"/>
      <c r="G145" s="73"/>
      <c r="H145" s="73"/>
      <c r="I145" s="73"/>
    </row>
    <row r="146" spans="1:9" ht="18.75" hidden="1" x14ac:dyDescent="0.3">
      <c r="A146" s="120" t="s">
        <v>178</v>
      </c>
      <c r="B146" s="120"/>
      <c r="C146" s="120"/>
      <c r="D146" s="120"/>
      <c r="E146" s="120"/>
      <c r="F146" s="7"/>
      <c r="G146" s="7"/>
      <c r="H146" s="7"/>
      <c r="I146" s="5"/>
    </row>
    <row r="147" spans="1:9" hidden="1" x14ac:dyDescent="0.25">
      <c r="C147" s="5"/>
      <c r="D147" s="5"/>
      <c r="E147" s="5"/>
      <c r="F147" s="5"/>
      <c r="G147" s="5"/>
      <c r="H147" s="5"/>
      <c r="I147" s="5"/>
    </row>
    <row r="148" spans="1:9" hidden="1" x14ac:dyDescent="0.25">
      <c r="C148" s="5"/>
      <c r="D148" s="5"/>
      <c r="E148" s="5"/>
      <c r="F148" s="5"/>
      <c r="G148" s="5"/>
      <c r="H148" s="5"/>
      <c r="I148" s="5"/>
    </row>
    <row r="149" spans="1:9" hidden="1" x14ac:dyDescent="0.25">
      <c r="C149" s="5"/>
      <c r="D149" s="5"/>
      <c r="E149" s="5"/>
      <c r="F149" s="5"/>
      <c r="G149" s="5"/>
      <c r="H149" s="5"/>
      <c r="I149" s="5"/>
    </row>
    <row r="150" spans="1:9" hidden="1" x14ac:dyDescent="0.25">
      <c r="C150" s="5"/>
      <c r="D150" s="5"/>
      <c r="E150" s="5"/>
      <c r="F150" s="5"/>
      <c r="G150" s="5"/>
      <c r="H150" s="5"/>
      <c r="I150" s="5"/>
    </row>
    <row r="151" spans="1:9" hidden="1" x14ac:dyDescent="0.25">
      <c r="C151" s="5"/>
      <c r="D151" s="5"/>
      <c r="E151" s="5"/>
      <c r="F151" s="5"/>
      <c r="G151" s="5"/>
      <c r="H151" s="5"/>
      <c r="I151" s="5"/>
    </row>
    <row r="152" spans="1:9" hidden="1" x14ac:dyDescent="0.25">
      <c r="C152" s="5"/>
      <c r="D152" s="5"/>
      <c r="E152" s="5"/>
      <c r="F152" s="5"/>
      <c r="G152" s="5"/>
      <c r="H152" s="5"/>
      <c r="I152" s="5"/>
    </row>
    <row r="153" spans="1:9" hidden="1" x14ac:dyDescent="0.25">
      <c r="C153" s="5"/>
      <c r="D153" s="5"/>
      <c r="E153" s="5"/>
      <c r="F153" s="5"/>
      <c r="G153" s="5"/>
      <c r="H153" s="5"/>
      <c r="I153" s="5"/>
    </row>
    <row r="154" spans="1:9" hidden="1" x14ac:dyDescent="0.25">
      <c r="C154" s="5"/>
      <c r="D154" s="5"/>
      <c r="E154" s="5"/>
      <c r="F154" s="5"/>
      <c r="G154" s="5"/>
      <c r="H154" s="5"/>
      <c r="I154" s="5"/>
    </row>
    <row r="155" spans="1:9" hidden="1" x14ac:dyDescent="0.25">
      <c r="C155" s="5"/>
      <c r="D155" s="5"/>
      <c r="E155" s="5"/>
      <c r="F155" s="5"/>
      <c r="G155" s="5"/>
      <c r="H155" s="5"/>
      <c r="I155" s="5"/>
    </row>
    <row r="156" spans="1:9" hidden="1" x14ac:dyDescent="0.25">
      <c r="C156" s="5"/>
      <c r="D156" s="5"/>
      <c r="E156" s="5"/>
      <c r="F156" s="5"/>
      <c r="G156" s="5"/>
      <c r="H156" s="5"/>
      <c r="I156" s="5"/>
    </row>
    <row r="157" spans="1:9" hidden="1" x14ac:dyDescent="0.25">
      <c r="C157" s="5"/>
      <c r="D157" s="5"/>
      <c r="E157" s="5"/>
      <c r="F157" s="5"/>
      <c r="G157" s="5"/>
      <c r="H157" s="5"/>
      <c r="I157" s="5"/>
    </row>
    <row r="158" spans="1:9" hidden="1" x14ac:dyDescent="0.25">
      <c r="C158" s="5"/>
      <c r="D158" s="5"/>
      <c r="E158" s="5"/>
      <c r="F158" s="5"/>
      <c r="G158" s="5"/>
      <c r="H158" s="5"/>
      <c r="I158" s="5"/>
    </row>
    <row r="159" spans="1:9" hidden="1" x14ac:dyDescent="0.25">
      <c r="C159" s="5"/>
      <c r="D159" s="5"/>
      <c r="E159" s="5"/>
      <c r="F159" s="5"/>
      <c r="G159" s="5"/>
      <c r="H159" s="5"/>
      <c r="I159" s="5"/>
    </row>
    <row r="160" spans="1:9" hidden="1" x14ac:dyDescent="0.25">
      <c r="C160" s="5"/>
      <c r="D160" s="5"/>
      <c r="E160" s="5"/>
      <c r="F160" s="5"/>
      <c r="G160" s="5"/>
      <c r="H160" s="5"/>
      <c r="I160" s="5"/>
    </row>
    <row r="161" spans="3:8" x14ac:dyDescent="0.25">
      <c r="C161" s="5"/>
      <c r="D161" s="5"/>
      <c r="E161" s="5"/>
      <c r="F161" s="5"/>
      <c r="G161" s="5"/>
      <c r="H161" s="5"/>
    </row>
    <row r="162" spans="3:8" x14ac:dyDescent="0.25">
      <c r="E162" s="5"/>
    </row>
  </sheetData>
  <mergeCells count="101">
    <mergeCell ref="A146:E146"/>
    <mergeCell ref="A103:A105"/>
    <mergeCell ref="B103:B105"/>
    <mergeCell ref="C103:C105"/>
    <mergeCell ref="D103:D105"/>
    <mergeCell ref="E103:E105"/>
    <mergeCell ref="F103:I103"/>
    <mergeCell ref="F104:F105"/>
    <mergeCell ref="I104:I105"/>
    <mergeCell ref="A95:B95"/>
    <mergeCell ref="A96:B96"/>
    <mergeCell ref="A97:B97"/>
    <mergeCell ref="A98:B98"/>
    <mergeCell ref="A99:B99"/>
    <mergeCell ref="A101:H101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B15:F16"/>
    <mergeCell ref="B19:I19"/>
    <mergeCell ref="A20:B22"/>
    <mergeCell ref="C20:C22"/>
    <mergeCell ref="D20:D22"/>
    <mergeCell ref="E20:E22"/>
    <mergeCell ref="F20:I20"/>
    <mergeCell ref="I21:I22"/>
    <mergeCell ref="F2:I2"/>
    <mergeCell ref="F4:I4"/>
    <mergeCell ref="B7:I7"/>
    <mergeCell ref="B8:I8"/>
    <mergeCell ref="B10:H10"/>
    <mergeCell ref="B12:F13"/>
  </mergeCells>
  <pageMargins left="0.47244094488188981" right="1.1811023622047245" top="0.59055118110236227" bottom="0.39370078740157483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62"/>
  <sheetViews>
    <sheetView topLeftCell="B112" zoomScaleNormal="100" zoomScaleSheetLayoutView="100" workbookViewId="0">
      <selection activeCell="F133" sqref="F133"/>
    </sheetView>
  </sheetViews>
  <sheetFormatPr defaultColWidth="9.140625" defaultRowHeight="15.75" x14ac:dyDescent="0.25"/>
  <cols>
    <col min="1" max="1" width="7.85546875" style="3" customWidth="1"/>
    <col min="2" max="2" width="62.28515625" style="1" customWidth="1"/>
    <col min="3" max="3" width="7" style="1" customWidth="1"/>
    <col min="4" max="4" width="11.42578125" style="1" customWidth="1"/>
    <col min="5" max="5" width="11.28515625" style="1" customWidth="1"/>
    <col min="6" max="8" width="14" style="1" customWidth="1"/>
    <col min="9" max="9" width="11.7109375" style="1" customWidth="1"/>
    <col min="10" max="10" width="14.28515625" style="2" bestFit="1" customWidth="1"/>
    <col min="11" max="11" width="12.42578125" style="2" customWidth="1"/>
    <col min="12" max="12" width="9.140625" style="2"/>
    <col min="13" max="13" width="29.7109375" style="2" customWidth="1"/>
    <col min="14" max="16384" width="9.140625" style="2"/>
  </cols>
  <sheetData>
    <row r="1" spans="1:9" ht="15" customHeight="1" x14ac:dyDescent="0.25">
      <c r="A1" s="18"/>
      <c r="B1" s="19"/>
      <c r="C1" s="19"/>
      <c r="D1" s="19"/>
      <c r="E1" s="19"/>
      <c r="F1" s="19"/>
      <c r="G1" s="19"/>
      <c r="H1" s="19"/>
      <c r="I1" s="109" t="s">
        <v>0</v>
      </c>
    </row>
    <row r="2" spans="1:9" ht="30" customHeight="1" x14ac:dyDescent="0.25">
      <c r="A2" s="18"/>
      <c r="B2" s="19"/>
      <c r="C2" s="19"/>
      <c r="D2" s="19"/>
      <c r="E2" s="19"/>
      <c r="F2" s="166" t="s">
        <v>1</v>
      </c>
      <c r="G2" s="166"/>
      <c r="H2" s="166"/>
      <c r="I2" s="166"/>
    </row>
    <row r="3" spans="1:9" ht="15" customHeight="1" x14ac:dyDescent="0.25">
      <c r="A3" s="18"/>
      <c r="B3" s="19"/>
      <c r="C3" s="19"/>
      <c r="D3" s="19"/>
      <c r="E3" s="19"/>
      <c r="F3" s="19"/>
      <c r="G3" s="19"/>
      <c r="H3" s="19"/>
      <c r="I3" s="109" t="s">
        <v>2</v>
      </c>
    </row>
    <row r="4" spans="1:9" ht="15" customHeight="1" x14ac:dyDescent="0.25">
      <c r="A4" s="18"/>
      <c r="B4" s="19"/>
      <c r="C4" s="19"/>
      <c r="D4" s="19"/>
      <c r="E4" s="19"/>
      <c r="F4" s="167" t="s">
        <v>211</v>
      </c>
      <c r="G4" s="167"/>
      <c r="H4" s="167"/>
      <c r="I4" s="167"/>
    </row>
    <row r="5" spans="1:9" ht="15" customHeight="1" x14ac:dyDescent="0.25">
      <c r="A5" s="18"/>
      <c r="B5" s="19"/>
      <c r="C5" s="19"/>
      <c r="D5" s="19"/>
      <c r="E5" s="19"/>
      <c r="F5" s="19"/>
      <c r="G5" s="19"/>
      <c r="H5" s="19"/>
      <c r="I5" s="109"/>
    </row>
    <row r="6" spans="1:9" ht="15" customHeight="1" x14ac:dyDescent="0.25">
      <c r="A6" s="18"/>
      <c r="B6" s="19"/>
      <c r="C6" s="19"/>
      <c r="D6" s="19"/>
      <c r="E6" s="19"/>
      <c r="F6" s="19"/>
      <c r="G6" s="19"/>
      <c r="H6" s="19"/>
      <c r="I6" s="19"/>
    </row>
    <row r="7" spans="1:9" ht="15" customHeight="1" x14ac:dyDescent="0.3">
      <c r="A7" s="18"/>
      <c r="B7" s="168" t="s">
        <v>197</v>
      </c>
      <c r="C7" s="168"/>
      <c r="D7" s="168"/>
      <c r="E7" s="168"/>
      <c r="F7" s="168"/>
      <c r="G7" s="168"/>
      <c r="H7" s="168"/>
      <c r="I7" s="168"/>
    </row>
    <row r="8" spans="1:9" ht="15" customHeight="1" x14ac:dyDescent="0.3">
      <c r="A8" s="18"/>
      <c r="B8" s="168" t="s">
        <v>192</v>
      </c>
      <c r="C8" s="168"/>
      <c r="D8" s="168"/>
      <c r="E8" s="168"/>
      <c r="F8" s="168"/>
      <c r="G8" s="168"/>
      <c r="H8" s="168"/>
      <c r="I8" s="168"/>
    </row>
    <row r="9" spans="1:9" ht="15" customHeight="1" x14ac:dyDescent="0.25">
      <c r="A9" s="18"/>
      <c r="B9" s="19"/>
      <c r="C9" s="19"/>
      <c r="D9" s="19"/>
      <c r="E9" s="19"/>
      <c r="F9" s="19"/>
      <c r="G9" s="19"/>
      <c r="H9" s="19"/>
      <c r="I9" s="21"/>
    </row>
    <row r="10" spans="1:9" ht="15" customHeight="1" x14ac:dyDescent="0.25">
      <c r="A10" s="18"/>
      <c r="B10" s="169" t="s">
        <v>212</v>
      </c>
      <c r="C10" s="169"/>
      <c r="D10" s="169"/>
      <c r="E10" s="169"/>
      <c r="F10" s="169"/>
      <c r="G10" s="169"/>
      <c r="H10" s="169"/>
      <c r="I10" s="22" t="s">
        <v>4</v>
      </c>
    </row>
    <row r="11" spans="1:9" ht="15" customHeight="1" x14ac:dyDescent="0.25">
      <c r="A11" s="18"/>
      <c r="B11" s="19"/>
      <c r="C11" s="19"/>
      <c r="D11" s="19"/>
      <c r="E11" s="19"/>
      <c r="F11" s="19"/>
      <c r="G11" s="19"/>
      <c r="H11" s="23" t="s">
        <v>5</v>
      </c>
      <c r="I11" s="24">
        <v>45196</v>
      </c>
    </row>
    <row r="12" spans="1:9" ht="15" customHeight="1" x14ac:dyDescent="0.25">
      <c r="A12" s="18"/>
      <c r="B12" s="154" t="s">
        <v>6</v>
      </c>
      <c r="C12" s="154"/>
      <c r="D12" s="154"/>
      <c r="E12" s="154"/>
      <c r="F12" s="154"/>
      <c r="G12" s="19"/>
      <c r="H12" s="23" t="s">
        <v>7</v>
      </c>
      <c r="I12" s="22"/>
    </row>
    <row r="13" spans="1:9" ht="15" customHeight="1" x14ac:dyDescent="0.25">
      <c r="A13" s="18"/>
      <c r="B13" s="154"/>
      <c r="C13" s="154"/>
      <c r="D13" s="154"/>
      <c r="E13" s="154"/>
      <c r="F13" s="154"/>
      <c r="G13" s="25"/>
      <c r="H13" s="26" t="s">
        <v>8</v>
      </c>
      <c r="I13" s="27">
        <v>925</v>
      </c>
    </row>
    <row r="14" spans="1:9" ht="15" customHeight="1" x14ac:dyDescent="0.25">
      <c r="A14" s="18"/>
      <c r="B14" s="19"/>
      <c r="C14" s="19"/>
      <c r="D14" s="19"/>
      <c r="E14" s="19"/>
      <c r="F14" s="19"/>
      <c r="G14" s="19"/>
      <c r="H14" s="23" t="s">
        <v>7</v>
      </c>
      <c r="I14" s="22"/>
    </row>
    <row r="15" spans="1:9" ht="15" customHeight="1" x14ac:dyDescent="0.25">
      <c r="A15" s="18"/>
      <c r="B15" s="154" t="s">
        <v>184</v>
      </c>
      <c r="C15" s="154"/>
      <c r="D15" s="154"/>
      <c r="E15" s="154"/>
      <c r="F15" s="154"/>
      <c r="G15" s="25"/>
      <c r="H15" s="23" t="s">
        <v>9</v>
      </c>
      <c r="I15" s="22">
        <v>2329020879</v>
      </c>
    </row>
    <row r="16" spans="1:9" ht="15" customHeight="1" x14ac:dyDescent="0.25">
      <c r="A16" s="18"/>
      <c r="B16" s="154"/>
      <c r="C16" s="154"/>
      <c r="D16" s="154"/>
      <c r="E16" s="154"/>
      <c r="F16" s="154"/>
      <c r="G16" s="19"/>
      <c r="H16" s="23" t="s">
        <v>10</v>
      </c>
      <c r="I16" s="22">
        <v>232901001</v>
      </c>
    </row>
    <row r="17" spans="1:11" ht="15" customHeight="1" x14ac:dyDescent="0.25">
      <c r="A17" s="18"/>
      <c r="B17" s="19" t="s">
        <v>11</v>
      </c>
      <c r="C17" s="19"/>
      <c r="D17" s="19"/>
      <c r="E17" s="19"/>
      <c r="F17" s="19"/>
      <c r="G17" s="19"/>
      <c r="H17" s="23" t="s">
        <v>12</v>
      </c>
      <c r="I17" s="22">
        <v>383</v>
      </c>
    </row>
    <row r="18" spans="1:11" ht="15" customHeight="1" x14ac:dyDescent="0.25">
      <c r="A18" s="18"/>
      <c r="B18" s="19"/>
      <c r="C18" s="19"/>
      <c r="D18" s="19"/>
      <c r="E18" s="19"/>
      <c r="F18" s="19"/>
      <c r="G18" s="19"/>
      <c r="H18" s="23"/>
      <c r="I18" s="28"/>
    </row>
    <row r="19" spans="1:11" ht="15" customHeight="1" x14ac:dyDescent="0.25">
      <c r="A19" s="18"/>
      <c r="B19" s="155" t="s">
        <v>13</v>
      </c>
      <c r="C19" s="155"/>
      <c r="D19" s="155"/>
      <c r="E19" s="155"/>
      <c r="F19" s="155"/>
      <c r="G19" s="155"/>
      <c r="H19" s="155"/>
      <c r="I19" s="155"/>
    </row>
    <row r="20" spans="1:11" s="4" customFormat="1" ht="13.5" customHeight="1" x14ac:dyDescent="0.25">
      <c r="A20" s="156" t="s">
        <v>14</v>
      </c>
      <c r="B20" s="157"/>
      <c r="C20" s="130" t="s">
        <v>15</v>
      </c>
      <c r="D20" s="130" t="s">
        <v>16</v>
      </c>
      <c r="E20" s="130" t="s">
        <v>17</v>
      </c>
      <c r="F20" s="163" t="s">
        <v>18</v>
      </c>
      <c r="G20" s="164"/>
      <c r="H20" s="164"/>
      <c r="I20" s="165"/>
    </row>
    <row r="21" spans="1:11" s="4" customFormat="1" ht="15" customHeight="1" x14ac:dyDescent="0.25">
      <c r="A21" s="158"/>
      <c r="B21" s="159"/>
      <c r="C21" s="162"/>
      <c r="D21" s="162"/>
      <c r="E21" s="162"/>
      <c r="F21" s="108" t="s">
        <v>19</v>
      </c>
      <c r="G21" s="108" t="s">
        <v>179</v>
      </c>
      <c r="H21" s="108" t="s">
        <v>193</v>
      </c>
      <c r="I21" s="130" t="s">
        <v>20</v>
      </c>
    </row>
    <row r="22" spans="1:11" s="4" customFormat="1" ht="60" customHeight="1" x14ac:dyDescent="0.25">
      <c r="A22" s="160"/>
      <c r="B22" s="161"/>
      <c r="C22" s="131"/>
      <c r="D22" s="131"/>
      <c r="E22" s="131"/>
      <c r="F22" s="108" t="s">
        <v>21</v>
      </c>
      <c r="G22" s="108" t="s">
        <v>22</v>
      </c>
      <c r="H22" s="108" t="s">
        <v>23</v>
      </c>
      <c r="I22" s="131"/>
    </row>
    <row r="23" spans="1:11" s="4" customFormat="1" ht="12.75" customHeight="1" x14ac:dyDescent="0.25">
      <c r="A23" s="153">
        <v>1</v>
      </c>
      <c r="B23" s="153"/>
      <c r="C23" s="107">
        <v>2</v>
      </c>
      <c r="D23" s="107">
        <v>3</v>
      </c>
      <c r="E23" s="107">
        <v>4</v>
      </c>
      <c r="F23" s="108">
        <v>5</v>
      </c>
      <c r="G23" s="108">
        <v>6</v>
      </c>
      <c r="H23" s="108">
        <v>7</v>
      </c>
      <c r="I23" s="107">
        <v>8</v>
      </c>
    </row>
    <row r="24" spans="1:11" s="4" customFormat="1" ht="15" customHeight="1" x14ac:dyDescent="0.25">
      <c r="A24" s="148" t="s">
        <v>24</v>
      </c>
      <c r="B24" s="148"/>
      <c r="C24" s="32" t="s">
        <v>25</v>
      </c>
      <c r="D24" s="32" t="s">
        <v>26</v>
      </c>
      <c r="E24" s="108" t="s">
        <v>26</v>
      </c>
      <c r="F24" s="33">
        <f>180978.76+5255.14</f>
        <v>186233.90000000002</v>
      </c>
      <c r="G24" s="33">
        <v>0</v>
      </c>
      <c r="H24" s="33">
        <v>0</v>
      </c>
      <c r="I24" s="33">
        <v>0</v>
      </c>
    </row>
    <row r="25" spans="1:11" s="4" customFormat="1" ht="15" customHeight="1" x14ac:dyDescent="0.25">
      <c r="A25" s="148" t="s">
        <v>27</v>
      </c>
      <c r="B25" s="148"/>
      <c r="C25" s="32" t="s">
        <v>28</v>
      </c>
      <c r="D25" s="32" t="s">
        <v>26</v>
      </c>
      <c r="E25" s="108" t="s">
        <v>26</v>
      </c>
      <c r="F25" s="33">
        <f>F26+F24-F47-F98+F94</f>
        <v>3.7834979593753815E-10</v>
      </c>
      <c r="G25" s="33">
        <f>G26+G24-G47-G98+G94</f>
        <v>0</v>
      </c>
      <c r="H25" s="33">
        <f>H26+H24-H47-H98+H94</f>
        <v>9.3132257461547852E-10</v>
      </c>
      <c r="I25" s="33">
        <v>0</v>
      </c>
    </row>
    <row r="26" spans="1:11" s="4" customFormat="1" ht="15" customHeight="1" x14ac:dyDescent="0.2">
      <c r="A26" s="145" t="s">
        <v>29</v>
      </c>
      <c r="B26" s="145"/>
      <c r="C26" s="34" t="s">
        <v>30</v>
      </c>
      <c r="D26" s="35"/>
      <c r="E26" s="36">
        <v>100</v>
      </c>
      <c r="F26" s="37">
        <f>F27+F28+F32+F33+F44+F45+F41</f>
        <v>4626165.41</v>
      </c>
      <c r="G26" s="37">
        <f>G27+G28+G32+G33+G44+G45+G41</f>
        <v>4544323.7700000005</v>
      </c>
      <c r="H26" s="37">
        <f>H27+H28+H32+H44+H45+H41</f>
        <v>4639523.7700000005</v>
      </c>
      <c r="I26" s="37">
        <f>I27+I28+I32+I33+I43+I44</f>
        <v>0</v>
      </c>
    </row>
    <row r="27" spans="1:11" s="4" customFormat="1" ht="26.25" customHeight="1" x14ac:dyDescent="0.25">
      <c r="A27" s="148" t="s">
        <v>31</v>
      </c>
      <c r="B27" s="148"/>
      <c r="C27" s="38" t="s">
        <v>32</v>
      </c>
      <c r="D27" s="32" t="s">
        <v>33</v>
      </c>
      <c r="E27" s="108"/>
      <c r="F27" s="33"/>
      <c r="G27" s="33"/>
      <c r="H27" s="33"/>
      <c r="I27" s="33"/>
    </row>
    <row r="28" spans="1:11" s="4" customFormat="1" ht="15" customHeight="1" x14ac:dyDescent="0.25">
      <c r="A28" s="148" t="s">
        <v>34</v>
      </c>
      <c r="B28" s="148"/>
      <c r="C28" s="32" t="s">
        <v>35</v>
      </c>
      <c r="D28" s="32" t="s">
        <v>36</v>
      </c>
      <c r="E28" s="108">
        <v>131</v>
      </c>
      <c r="F28" s="33">
        <f>F29+F31+F42+F44</f>
        <v>4204965.41</v>
      </c>
      <c r="G28" s="33">
        <f>G29+G31+G42+G44</f>
        <v>4051223.7700000005</v>
      </c>
      <c r="H28" s="33">
        <f>H29+H31+H42+H44+H34</f>
        <v>4639523.7700000005</v>
      </c>
      <c r="I28" s="33">
        <f t="shared" ref="I28" si="0">SUM(I29:I31)</f>
        <v>0</v>
      </c>
    </row>
    <row r="29" spans="1:11" s="4" customFormat="1" ht="61.5" customHeight="1" x14ac:dyDescent="0.25">
      <c r="A29" s="148" t="s">
        <v>37</v>
      </c>
      <c r="B29" s="148"/>
      <c r="C29" s="32" t="s">
        <v>38</v>
      </c>
      <c r="D29" s="32" t="s">
        <v>36</v>
      </c>
      <c r="E29" s="108"/>
      <c r="F29" s="119">
        <f>4037786.27-6622.36</f>
        <v>4031163.91</v>
      </c>
      <c r="G29" s="33">
        <f>3927840.37-170362.5+111449.66+11933.74</f>
        <v>3880861.2700000005</v>
      </c>
      <c r="H29" s="33">
        <f>3969440.37-170362.5+111449.66+11933.74</f>
        <v>3922461.2700000005</v>
      </c>
      <c r="I29" s="33"/>
      <c r="J29" s="4" t="s">
        <v>216</v>
      </c>
    </row>
    <row r="30" spans="1:11" s="4" customFormat="1" ht="48" customHeight="1" x14ac:dyDescent="0.25">
      <c r="A30" s="148" t="s">
        <v>39</v>
      </c>
      <c r="B30" s="148"/>
      <c r="C30" s="32" t="s">
        <v>40</v>
      </c>
      <c r="D30" s="32" t="s">
        <v>36</v>
      </c>
      <c r="E30" s="108"/>
      <c r="F30" s="33"/>
      <c r="G30" s="33"/>
      <c r="H30" s="33"/>
      <c r="I30" s="33"/>
    </row>
    <row r="31" spans="1:11" s="4" customFormat="1" ht="47.25" customHeight="1" x14ac:dyDescent="0.25">
      <c r="A31" s="148" t="s">
        <v>41</v>
      </c>
      <c r="B31" s="148"/>
      <c r="C31" s="32" t="s">
        <v>42</v>
      </c>
      <c r="D31" s="32" t="s">
        <v>36</v>
      </c>
      <c r="E31" s="108"/>
      <c r="F31" s="118">
        <f>173801.5</f>
        <v>173801.5</v>
      </c>
      <c r="G31" s="33">
        <v>170362.5</v>
      </c>
      <c r="H31" s="33">
        <v>170362.5</v>
      </c>
      <c r="I31" s="33"/>
      <c r="J31" s="4" t="s">
        <v>217</v>
      </c>
      <c r="K31" s="115">
        <f>10792.1+128377.12+26659.95+8018.13+500</f>
        <v>174347.30000000002</v>
      </c>
    </row>
    <row r="32" spans="1:11" s="4" customFormat="1" ht="15" customHeight="1" x14ac:dyDescent="0.25">
      <c r="A32" s="148" t="s">
        <v>43</v>
      </c>
      <c r="B32" s="148"/>
      <c r="C32" s="32" t="s">
        <v>44</v>
      </c>
      <c r="D32" s="32" t="s">
        <v>45</v>
      </c>
      <c r="E32" s="108"/>
      <c r="F32" s="33"/>
      <c r="G32" s="33"/>
      <c r="H32" s="33"/>
      <c r="I32" s="33"/>
    </row>
    <row r="33" spans="1:9" s="4" customFormat="1" ht="15" customHeight="1" x14ac:dyDescent="0.25">
      <c r="A33" s="148" t="s">
        <v>46</v>
      </c>
      <c r="B33" s="148"/>
      <c r="C33" s="32" t="s">
        <v>47</v>
      </c>
      <c r="D33" s="32" t="s">
        <v>48</v>
      </c>
      <c r="E33" s="108"/>
      <c r="F33" s="33">
        <f>F34</f>
        <v>421200</v>
      </c>
      <c r="G33" s="33">
        <f>G34</f>
        <v>493100</v>
      </c>
      <c r="H33" s="33">
        <f>H34</f>
        <v>546700</v>
      </c>
      <c r="I33" s="33"/>
    </row>
    <row r="34" spans="1:9" s="4" customFormat="1" ht="15" customHeight="1" x14ac:dyDescent="0.25">
      <c r="A34" s="148" t="s">
        <v>49</v>
      </c>
      <c r="B34" s="148"/>
      <c r="C34" s="32" t="s">
        <v>50</v>
      </c>
      <c r="D34" s="32" t="s">
        <v>48</v>
      </c>
      <c r="E34" s="108"/>
      <c r="F34" s="33">
        <f>SUM(F35:F39)</f>
        <v>421200</v>
      </c>
      <c r="G34" s="33">
        <f>SUM(G35:G39)</f>
        <v>493100</v>
      </c>
      <c r="H34" s="33">
        <f>SUM(H35:H39)</f>
        <v>546700</v>
      </c>
      <c r="I34" s="33"/>
    </row>
    <row r="35" spans="1:9" s="4" customFormat="1" ht="27" customHeight="1" x14ac:dyDescent="0.25">
      <c r="A35" s="149" t="s">
        <v>195</v>
      </c>
      <c r="B35" s="150"/>
      <c r="C35" s="32"/>
      <c r="D35" s="32"/>
      <c r="E35" s="108"/>
      <c r="F35" s="33">
        <f>246900-10000</f>
        <v>236900</v>
      </c>
      <c r="G35" s="33">
        <v>236900</v>
      </c>
      <c r="H35" s="33">
        <v>236900</v>
      </c>
      <c r="I35" s="33"/>
    </row>
    <row r="36" spans="1:9" s="4" customFormat="1" ht="26.25" customHeight="1" x14ac:dyDescent="0.25">
      <c r="A36" s="151" t="s">
        <v>196</v>
      </c>
      <c r="B36" s="152"/>
      <c r="C36" s="32"/>
      <c r="D36" s="32"/>
      <c r="E36" s="108"/>
      <c r="F36" s="33">
        <v>0</v>
      </c>
      <c r="G36" s="33">
        <v>10000</v>
      </c>
      <c r="H36" s="33">
        <v>10000</v>
      </c>
      <c r="I36" s="33"/>
    </row>
    <row r="37" spans="1:9" s="4" customFormat="1" ht="35.25" customHeight="1" x14ac:dyDescent="0.25">
      <c r="A37" s="148" t="s">
        <v>183</v>
      </c>
      <c r="B37" s="148"/>
      <c r="C37" s="32"/>
      <c r="D37" s="32"/>
      <c r="E37" s="108"/>
      <c r="F37" s="116">
        <f>23700+17300</f>
        <v>41000</v>
      </c>
      <c r="G37" s="33">
        <v>23700</v>
      </c>
      <c r="H37" s="33">
        <v>23700</v>
      </c>
      <c r="I37" s="33"/>
    </row>
    <row r="38" spans="1:9" s="4" customFormat="1" ht="39" customHeight="1" x14ac:dyDescent="0.25">
      <c r="A38" s="148" t="s">
        <v>180</v>
      </c>
      <c r="B38" s="148"/>
      <c r="C38" s="32"/>
      <c r="D38" s="32"/>
      <c r="E38" s="108"/>
      <c r="F38" s="116">
        <v>70700</v>
      </c>
      <c r="G38" s="33">
        <v>70700</v>
      </c>
      <c r="H38" s="33">
        <v>70700</v>
      </c>
      <c r="I38" s="33"/>
    </row>
    <row r="39" spans="1:9" s="4" customFormat="1" ht="42" customHeight="1" x14ac:dyDescent="0.25">
      <c r="A39" s="148" t="s">
        <v>181</v>
      </c>
      <c r="B39" s="148"/>
      <c r="C39" s="32"/>
      <c r="D39" s="32"/>
      <c r="E39" s="108"/>
      <c r="F39" s="116">
        <f>32300+32300+8000</f>
        <v>72600</v>
      </c>
      <c r="G39" s="33">
        <v>151800</v>
      </c>
      <c r="H39" s="33">
        <v>205400</v>
      </c>
      <c r="I39" s="33"/>
    </row>
    <row r="40" spans="1:9" s="4" customFormat="1" ht="19.5" customHeight="1" x14ac:dyDescent="0.25">
      <c r="A40" s="148" t="s">
        <v>51</v>
      </c>
      <c r="B40" s="148"/>
      <c r="C40" s="32" t="s">
        <v>52</v>
      </c>
      <c r="D40" s="32" t="s">
        <v>48</v>
      </c>
      <c r="E40" s="108"/>
      <c r="F40" s="33"/>
      <c r="G40" s="33"/>
      <c r="H40" s="33"/>
      <c r="I40" s="33"/>
    </row>
    <row r="41" spans="1:9" s="4" customFormat="1" ht="43.5" customHeight="1" x14ac:dyDescent="0.25">
      <c r="A41" s="146" t="s">
        <v>53</v>
      </c>
      <c r="B41" s="147"/>
      <c r="C41" s="32" t="s">
        <v>54</v>
      </c>
      <c r="D41" s="32" t="s">
        <v>48</v>
      </c>
      <c r="E41" s="108"/>
      <c r="F41" s="33"/>
      <c r="G41" s="33"/>
      <c r="H41" s="33"/>
      <c r="I41" s="33"/>
    </row>
    <row r="42" spans="1:9" s="4" customFormat="1" ht="15" customHeight="1" x14ac:dyDescent="0.25">
      <c r="A42" s="148" t="s">
        <v>55</v>
      </c>
      <c r="B42" s="148"/>
      <c r="C42" s="32" t="s">
        <v>56</v>
      </c>
      <c r="D42" s="32" t="s">
        <v>57</v>
      </c>
      <c r="E42" s="108"/>
      <c r="F42" s="33"/>
      <c r="G42" s="33"/>
      <c r="H42" s="33"/>
      <c r="I42" s="33"/>
    </row>
    <row r="43" spans="1:9" s="4" customFormat="1" ht="15" customHeight="1" x14ac:dyDescent="0.25">
      <c r="A43" s="146" t="s">
        <v>58</v>
      </c>
      <c r="B43" s="147"/>
      <c r="C43" s="32"/>
      <c r="D43" s="32"/>
      <c r="E43" s="108"/>
      <c r="F43" s="33"/>
      <c r="G43" s="33"/>
      <c r="H43" s="33"/>
      <c r="I43" s="33"/>
    </row>
    <row r="44" spans="1:9" s="4" customFormat="1" ht="15" customHeight="1" x14ac:dyDescent="0.25">
      <c r="A44" s="148" t="s">
        <v>59</v>
      </c>
      <c r="B44" s="148"/>
      <c r="C44" s="32" t="s">
        <v>60</v>
      </c>
      <c r="D44" s="32" t="s">
        <v>61</v>
      </c>
      <c r="E44" s="108"/>
      <c r="F44" s="33"/>
      <c r="G44" s="33"/>
      <c r="H44" s="33"/>
      <c r="I44" s="33"/>
    </row>
    <row r="45" spans="1:9" s="4" customFormat="1" ht="17.25" customHeight="1" x14ac:dyDescent="0.25">
      <c r="A45" s="148" t="s">
        <v>62</v>
      </c>
      <c r="B45" s="148"/>
      <c r="C45" s="32" t="s">
        <v>63</v>
      </c>
      <c r="D45" s="32" t="s">
        <v>26</v>
      </c>
      <c r="E45" s="108"/>
      <c r="F45" s="33"/>
      <c r="G45" s="33"/>
      <c r="H45" s="33"/>
      <c r="I45" s="33" t="s">
        <v>26</v>
      </c>
    </row>
    <row r="46" spans="1:9" s="4" customFormat="1" ht="42" customHeight="1" x14ac:dyDescent="0.25">
      <c r="A46" s="148" t="s">
        <v>64</v>
      </c>
      <c r="B46" s="148"/>
      <c r="C46" s="32" t="s">
        <v>65</v>
      </c>
      <c r="D46" s="32" t="s">
        <v>66</v>
      </c>
      <c r="E46" s="108"/>
      <c r="F46" s="33"/>
      <c r="G46" s="33"/>
      <c r="H46" s="33"/>
      <c r="I46" s="37"/>
    </row>
    <row r="47" spans="1:9" s="4" customFormat="1" ht="30" customHeight="1" x14ac:dyDescent="0.25">
      <c r="A47" s="145" t="s">
        <v>67</v>
      </c>
      <c r="B47" s="145"/>
      <c r="C47" s="35" t="s">
        <v>68</v>
      </c>
      <c r="D47" s="35" t="s">
        <v>26</v>
      </c>
      <c r="E47" s="36">
        <v>200</v>
      </c>
      <c r="F47" s="37">
        <f>F48+F58+F65+F69+F76+F78</f>
        <v>4634603.91</v>
      </c>
      <c r="G47" s="37">
        <f>G48+G58+G65+G69+G76+G78</f>
        <v>4544323.7700000005</v>
      </c>
      <c r="H47" s="37">
        <f>H48+H58+H65+H69+H76+H78</f>
        <v>4639523.7699999996</v>
      </c>
      <c r="I47" s="39" t="s">
        <v>26</v>
      </c>
    </row>
    <row r="48" spans="1:9" s="4" customFormat="1" ht="25.5" customHeight="1" x14ac:dyDescent="0.25">
      <c r="A48" s="143" t="s">
        <v>69</v>
      </c>
      <c r="B48" s="143"/>
      <c r="C48" s="40">
        <v>2100</v>
      </c>
      <c r="D48" s="35" t="s">
        <v>26</v>
      </c>
      <c r="E48" s="40">
        <v>210</v>
      </c>
      <c r="F48" s="39">
        <f>F49+F50+F51+F52+F53+F54+F55</f>
        <v>3231673.7</v>
      </c>
      <c r="G48" s="39">
        <f>G49+G50+G51+G52+G53+G54+G55</f>
        <v>3193009.4000000004</v>
      </c>
      <c r="H48" s="39">
        <f>H49+H50+H51+H52+H53+H54+H55</f>
        <v>3193009.4</v>
      </c>
      <c r="I48" s="39" t="s">
        <v>26</v>
      </c>
    </row>
    <row r="49" spans="1:11" s="4" customFormat="1" ht="30" customHeight="1" x14ac:dyDescent="0.25">
      <c r="A49" s="144" t="s">
        <v>70</v>
      </c>
      <c r="B49" s="144"/>
      <c r="C49" s="40">
        <v>2110</v>
      </c>
      <c r="D49" s="40">
        <v>111</v>
      </c>
      <c r="E49" s="40">
        <v>211</v>
      </c>
      <c r="F49" s="92">
        <f>1023246+1152426.81+84754.22+97196.62-603.62+785.91-384.02+1159.75+123499.99+9025.12+2319.51-14393.68-41000+47713.19</f>
        <v>2485745.8000000003</v>
      </c>
      <c r="G49" s="39">
        <f>1023246+1152426.81+84754.22+97196.62+85598.82+9165.7</f>
        <v>2452388.1700000004</v>
      </c>
      <c r="H49" s="39">
        <f>2357623.65+85598.82+9165.7</f>
        <v>2452388.17</v>
      </c>
      <c r="I49" s="39" t="s">
        <v>26</v>
      </c>
      <c r="J49" s="4">
        <v>211</v>
      </c>
      <c r="K49" s="115">
        <f>983254.21+41927.28+5785.91+1272827.56+181950.84</f>
        <v>2485745.7999999998</v>
      </c>
    </row>
    <row r="50" spans="1:11" s="4" customFormat="1" ht="23.25" customHeight="1" x14ac:dyDescent="0.25">
      <c r="A50" s="144" t="s">
        <v>71</v>
      </c>
      <c r="B50" s="144"/>
      <c r="C50" s="40">
        <v>2120</v>
      </c>
      <c r="D50" s="40">
        <v>112</v>
      </c>
      <c r="E50" s="40">
        <v>266</v>
      </c>
      <c r="F50" s="39"/>
      <c r="G50" s="39"/>
      <c r="H50" s="39"/>
      <c r="I50" s="39" t="s">
        <v>26</v>
      </c>
      <c r="K50" s="115"/>
    </row>
    <row r="51" spans="1:11" s="4" customFormat="1" ht="31.5" customHeight="1" x14ac:dyDescent="0.25">
      <c r="A51" s="144" t="s">
        <v>72</v>
      </c>
      <c r="B51" s="144"/>
      <c r="C51" s="40">
        <v>2130</v>
      </c>
      <c r="D51" s="40">
        <v>113</v>
      </c>
      <c r="E51" s="40">
        <v>226</v>
      </c>
      <c r="F51" s="39"/>
      <c r="G51" s="39"/>
      <c r="H51" s="39"/>
      <c r="I51" s="39" t="s">
        <v>26</v>
      </c>
      <c r="K51" s="115"/>
    </row>
    <row r="52" spans="1:11" s="4" customFormat="1" ht="34.5" customHeight="1" x14ac:dyDescent="0.25">
      <c r="A52" s="144" t="s">
        <v>73</v>
      </c>
      <c r="B52" s="144"/>
      <c r="C52" s="40">
        <v>2140</v>
      </c>
      <c r="D52" s="40">
        <v>119</v>
      </c>
      <c r="E52" s="40">
        <v>213</v>
      </c>
      <c r="F52" s="92">
        <f>309020.29+348032.9+25595.78+29353.38-182.29-115.98-1159.75+37297+2725.59-2319.51-2319.51</f>
        <v>745927.89999999991</v>
      </c>
      <c r="G52" s="39">
        <f>25595.78+29353.38+309020.29+348032.9+25850.84+2768.04</f>
        <v>740621.23</v>
      </c>
      <c r="H52" s="39">
        <f>712002.35+25850.84+2768.04</f>
        <v>740621.23</v>
      </c>
      <c r="I52" s="39" t="s">
        <v>26</v>
      </c>
      <c r="J52" s="4">
        <v>213</v>
      </c>
      <c r="K52" s="115">
        <f>306584.8+384393.94+54949.16</f>
        <v>745927.9</v>
      </c>
    </row>
    <row r="53" spans="1:11" s="4" customFormat="1" ht="29.25" customHeight="1" x14ac:dyDescent="0.25">
      <c r="A53" s="144" t="s">
        <v>74</v>
      </c>
      <c r="B53" s="144"/>
      <c r="C53" s="40">
        <v>2150</v>
      </c>
      <c r="D53" s="40">
        <v>131</v>
      </c>
      <c r="E53" s="40"/>
      <c r="F53" s="39"/>
      <c r="G53" s="39"/>
      <c r="H53" s="39"/>
      <c r="I53" s="39" t="s">
        <v>26</v>
      </c>
    </row>
    <row r="54" spans="1:11" s="4" customFormat="1" ht="29.25" customHeight="1" x14ac:dyDescent="0.25">
      <c r="A54" s="144" t="s">
        <v>75</v>
      </c>
      <c r="B54" s="144"/>
      <c r="C54" s="40">
        <v>2170</v>
      </c>
      <c r="D54" s="40">
        <v>134</v>
      </c>
      <c r="E54" s="40"/>
      <c r="F54" s="39"/>
      <c r="G54" s="39"/>
      <c r="H54" s="39"/>
      <c r="I54" s="39" t="s">
        <v>26</v>
      </c>
    </row>
    <row r="55" spans="1:11" s="4" customFormat="1" ht="32.25" customHeight="1" x14ac:dyDescent="0.25">
      <c r="A55" s="144" t="s">
        <v>76</v>
      </c>
      <c r="B55" s="144"/>
      <c r="C55" s="40">
        <v>2180</v>
      </c>
      <c r="D55" s="40">
        <v>139</v>
      </c>
      <c r="E55" s="40"/>
      <c r="F55" s="39">
        <f>F56+F57</f>
        <v>0</v>
      </c>
      <c r="G55" s="39">
        <f t="shared" ref="G55:H55" si="1">G56+G57</f>
        <v>0</v>
      </c>
      <c r="H55" s="39">
        <f t="shared" si="1"/>
        <v>0</v>
      </c>
      <c r="I55" s="39" t="s">
        <v>26</v>
      </c>
    </row>
    <row r="56" spans="1:11" s="4" customFormat="1" ht="30" customHeight="1" x14ac:dyDescent="0.25">
      <c r="A56" s="143" t="s">
        <v>77</v>
      </c>
      <c r="B56" s="143"/>
      <c r="C56" s="40">
        <v>2181</v>
      </c>
      <c r="D56" s="40">
        <v>139</v>
      </c>
      <c r="E56" s="40"/>
      <c r="F56" s="39"/>
      <c r="G56" s="39"/>
      <c r="H56" s="39"/>
      <c r="I56" s="39" t="s">
        <v>26</v>
      </c>
    </row>
    <row r="57" spans="1:11" s="4" customFormat="1" ht="16.5" customHeight="1" x14ac:dyDescent="0.25">
      <c r="A57" s="143" t="s">
        <v>78</v>
      </c>
      <c r="B57" s="143"/>
      <c r="C57" s="40">
        <v>2172</v>
      </c>
      <c r="D57" s="40">
        <v>139</v>
      </c>
      <c r="E57" s="40"/>
      <c r="F57" s="39"/>
      <c r="G57" s="39"/>
      <c r="H57" s="39"/>
      <c r="I57" s="39" t="s">
        <v>26</v>
      </c>
    </row>
    <row r="58" spans="1:11" s="4" customFormat="1" ht="17.25" customHeight="1" x14ac:dyDescent="0.25">
      <c r="A58" s="143" t="s">
        <v>79</v>
      </c>
      <c r="B58" s="143"/>
      <c r="C58" s="40">
        <v>2200</v>
      </c>
      <c r="D58" s="40">
        <v>300</v>
      </c>
      <c r="E58" s="40"/>
      <c r="F58" s="39">
        <f>F59+F62+F63+F64</f>
        <v>41000</v>
      </c>
      <c r="G58" s="39">
        <f>G59+G62+G63+G64</f>
        <v>23700</v>
      </c>
      <c r="H58" s="39">
        <f>H59+H62+H63+H64</f>
        <v>23700</v>
      </c>
      <c r="I58" s="39" t="s">
        <v>26</v>
      </c>
    </row>
    <row r="59" spans="1:11" s="4" customFormat="1" ht="45" customHeight="1" x14ac:dyDescent="0.25">
      <c r="A59" s="143" t="s">
        <v>80</v>
      </c>
      <c r="B59" s="143"/>
      <c r="C59" s="40">
        <v>2210</v>
      </c>
      <c r="D59" s="40">
        <v>320</v>
      </c>
      <c r="E59" s="40"/>
      <c r="F59" s="39">
        <f>SUM(F60:F61)</f>
        <v>41000</v>
      </c>
      <c r="G59" s="39">
        <f t="shared" ref="G59:H59" si="2">SUM(G60:G61)</f>
        <v>23700</v>
      </c>
      <c r="H59" s="39">
        <f t="shared" si="2"/>
        <v>23700</v>
      </c>
      <c r="I59" s="39" t="s">
        <v>26</v>
      </c>
    </row>
    <row r="60" spans="1:11" s="4" customFormat="1" ht="43.5" customHeight="1" x14ac:dyDescent="0.25">
      <c r="A60" s="143" t="s">
        <v>81</v>
      </c>
      <c r="B60" s="143"/>
      <c r="C60" s="40">
        <v>2211</v>
      </c>
      <c r="D60" s="40">
        <v>321</v>
      </c>
      <c r="E60" s="40">
        <v>267</v>
      </c>
      <c r="F60" s="39">
        <f>23700+17300</f>
        <v>41000</v>
      </c>
      <c r="G60" s="39">
        <v>23700</v>
      </c>
      <c r="H60" s="39">
        <v>23700</v>
      </c>
      <c r="I60" s="39"/>
    </row>
    <row r="61" spans="1:11" s="4" customFormat="1" ht="30.75" customHeight="1" x14ac:dyDescent="0.25">
      <c r="A61" s="143" t="s">
        <v>82</v>
      </c>
      <c r="B61" s="143"/>
      <c r="C61" s="40">
        <v>2212</v>
      </c>
      <c r="D61" s="40">
        <v>321</v>
      </c>
      <c r="E61" s="40">
        <v>263</v>
      </c>
      <c r="F61" s="39"/>
      <c r="G61" s="39"/>
      <c r="H61" s="39"/>
      <c r="I61" s="39" t="s">
        <v>26</v>
      </c>
    </row>
    <row r="62" spans="1:11" s="4" customFormat="1" ht="33" customHeight="1" x14ac:dyDescent="0.25">
      <c r="A62" s="143" t="s">
        <v>83</v>
      </c>
      <c r="B62" s="143"/>
      <c r="C62" s="40">
        <v>2220</v>
      </c>
      <c r="D62" s="40">
        <v>340</v>
      </c>
      <c r="E62" s="40"/>
      <c r="F62" s="39"/>
      <c r="G62" s="39"/>
      <c r="H62" s="39"/>
      <c r="I62" s="39" t="s">
        <v>26</v>
      </c>
    </row>
    <row r="63" spans="1:11" s="4" customFormat="1" ht="13.5" customHeight="1" x14ac:dyDescent="0.25">
      <c r="A63" s="143" t="s">
        <v>84</v>
      </c>
      <c r="B63" s="143"/>
      <c r="C63" s="40">
        <v>2230</v>
      </c>
      <c r="D63" s="40">
        <v>350</v>
      </c>
      <c r="E63" s="40"/>
      <c r="F63" s="39"/>
      <c r="G63" s="39"/>
      <c r="H63" s="39"/>
      <c r="I63" s="39" t="s">
        <v>26</v>
      </c>
    </row>
    <row r="64" spans="1:11" s="4" customFormat="1" ht="18" customHeight="1" x14ac:dyDescent="0.25">
      <c r="A64" s="143" t="s">
        <v>85</v>
      </c>
      <c r="B64" s="143"/>
      <c r="C64" s="40">
        <v>2240</v>
      </c>
      <c r="D64" s="40">
        <v>360</v>
      </c>
      <c r="E64" s="40"/>
      <c r="F64" s="39"/>
      <c r="G64" s="39"/>
      <c r="H64" s="39"/>
      <c r="I64" s="39" t="s">
        <v>26</v>
      </c>
    </row>
    <row r="65" spans="1:9" s="4" customFormat="1" ht="17.25" customHeight="1" x14ac:dyDescent="0.25">
      <c r="A65" s="143" t="s">
        <v>86</v>
      </c>
      <c r="B65" s="143"/>
      <c r="C65" s="40">
        <v>2300</v>
      </c>
      <c r="D65" s="40">
        <v>850</v>
      </c>
      <c r="E65" s="40"/>
      <c r="F65" s="39">
        <f>SUM(F66:F68)</f>
        <v>10320.34</v>
      </c>
      <c r="G65" s="39">
        <f t="shared" ref="G65:H65" si="3">SUM(G66:G68)</f>
        <v>9060</v>
      </c>
      <c r="H65" s="39">
        <f t="shared" si="3"/>
        <v>9060</v>
      </c>
      <c r="I65" s="39" t="s">
        <v>26</v>
      </c>
    </row>
    <row r="66" spans="1:9" s="4" customFormat="1" ht="27" customHeight="1" x14ac:dyDescent="0.25">
      <c r="A66" s="143" t="s">
        <v>87</v>
      </c>
      <c r="B66" s="143"/>
      <c r="C66" s="40">
        <v>2310</v>
      </c>
      <c r="D66" s="40">
        <v>851</v>
      </c>
      <c r="E66" s="40">
        <v>290</v>
      </c>
      <c r="F66" s="92">
        <f>8733.72</f>
        <v>8733.7199999999993</v>
      </c>
      <c r="G66" s="39">
        <v>9000</v>
      </c>
      <c r="H66" s="39">
        <v>9000</v>
      </c>
      <c r="I66" s="41" t="s">
        <v>26</v>
      </c>
    </row>
    <row r="67" spans="1:9" s="4" customFormat="1" ht="33" customHeight="1" x14ac:dyDescent="0.25">
      <c r="A67" s="132" t="s">
        <v>88</v>
      </c>
      <c r="B67" s="132"/>
      <c r="C67" s="42">
        <v>2320</v>
      </c>
      <c r="D67" s="42">
        <v>852</v>
      </c>
      <c r="E67" s="42">
        <v>290</v>
      </c>
      <c r="F67" s="41">
        <v>0</v>
      </c>
      <c r="G67" s="41">
        <v>60</v>
      </c>
      <c r="H67" s="41">
        <v>60</v>
      </c>
      <c r="I67" s="41" t="s">
        <v>26</v>
      </c>
    </row>
    <row r="68" spans="1:9" s="4" customFormat="1" ht="17.25" customHeight="1" x14ac:dyDescent="0.25">
      <c r="A68" s="132" t="s">
        <v>89</v>
      </c>
      <c r="B68" s="132"/>
      <c r="C68" s="42">
        <v>2330</v>
      </c>
      <c r="D68" s="42">
        <v>853</v>
      </c>
      <c r="E68" s="42">
        <v>290</v>
      </c>
      <c r="F68" s="113">
        <f>1270.34+319.32-6.08+3.04</f>
        <v>1586.62</v>
      </c>
      <c r="G68" s="41">
        <v>0</v>
      </c>
      <c r="H68" s="41"/>
      <c r="I68" s="41" t="s">
        <v>26</v>
      </c>
    </row>
    <row r="69" spans="1:9" s="4" customFormat="1" ht="15.75" customHeight="1" x14ac:dyDescent="0.25">
      <c r="A69" s="132" t="s">
        <v>90</v>
      </c>
      <c r="B69" s="132"/>
      <c r="C69" s="42">
        <v>2400</v>
      </c>
      <c r="D69" s="42" t="s">
        <v>26</v>
      </c>
      <c r="E69" s="42"/>
      <c r="F69" s="41">
        <f>SUM(F70:F72)</f>
        <v>0</v>
      </c>
      <c r="G69" s="41">
        <f t="shared" ref="G69:H69" si="4">SUM(G70:G72)</f>
        <v>0</v>
      </c>
      <c r="H69" s="41">
        <f t="shared" si="4"/>
        <v>0</v>
      </c>
      <c r="I69" s="41" t="s">
        <v>26</v>
      </c>
    </row>
    <row r="70" spans="1:9" s="4" customFormat="1" ht="29.25" customHeight="1" x14ac:dyDescent="0.25">
      <c r="A70" s="132" t="s">
        <v>91</v>
      </c>
      <c r="B70" s="132"/>
      <c r="C70" s="42">
        <v>2410</v>
      </c>
      <c r="D70" s="42">
        <v>613</v>
      </c>
      <c r="E70" s="42"/>
      <c r="F70" s="41"/>
      <c r="G70" s="41"/>
      <c r="H70" s="41"/>
      <c r="I70" s="41" t="s">
        <v>26</v>
      </c>
    </row>
    <row r="71" spans="1:9" s="4" customFormat="1" ht="16.5" customHeight="1" x14ac:dyDescent="0.25">
      <c r="A71" s="132" t="s">
        <v>92</v>
      </c>
      <c r="B71" s="132"/>
      <c r="C71" s="42">
        <v>2420</v>
      </c>
      <c r="D71" s="42">
        <v>623</v>
      </c>
      <c r="E71" s="42"/>
      <c r="F71" s="41"/>
      <c r="G71" s="41"/>
      <c r="H71" s="41"/>
      <c r="I71" s="41" t="s">
        <v>26</v>
      </c>
    </row>
    <row r="72" spans="1:9" s="4" customFormat="1" ht="28.5" customHeight="1" x14ac:dyDescent="0.25">
      <c r="A72" s="132" t="s">
        <v>93</v>
      </c>
      <c r="B72" s="132"/>
      <c r="C72" s="42">
        <v>2430</v>
      </c>
      <c r="D72" s="42">
        <v>634</v>
      </c>
      <c r="E72" s="42"/>
      <c r="F72" s="41"/>
      <c r="G72" s="41"/>
      <c r="H72" s="41"/>
      <c r="I72" s="41" t="s">
        <v>26</v>
      </c>
    </row>
    <row r="73" spans="1:9" s="4" customFormat="1" ht="15.75" customHeight="1" x14ac:dyDescent="0.25">
      <c r="A73" s="132" t="s">
        <v>94</v>
      </c>
      <c r="B73" s="132"/>
      <c r="C73" s="42">
        <v>2440</v>
      </c>
      <c r="D73" s="42">
        <v>810</v>
      </c>
      <c r="E73" s="42"/>
      <c r="F73" s="41"/>
      <c r="G73" s="41"/>
      <c r="H73" s="41"/>
      <c r="I73" s="41"/>
    </row>
    <row r="74" spans="1:9" s="4" customFormat="1" ht="16.5" customHeight="1" x14ac:dyDescent="0.25">
      <c r="A74" s="141" t="s">
        <v>95</v>
      </c>
      <c r="B74" s="142"/>
      <c r="C74" s="42">
        <v>2450</v>
      </c>
      <c r="D74" s="42">
        <v>862</v>
      </c>
      <c r="E74" s="42"/>
      <c r="F74" s="41"/>
      <c r="G74" s="41"/>
      <c r="H74" s="41"/>
      <c r="I74" s="41"/>
    </row>
    <row r="75" spans="1:9" s="4" customFormat="1" ht="30" customHeight="1" x14ac:dyDescent="0.25">
      <c r="A75" s="141" t="s">
        <v>96</v>
      </c>
      <c r="B75" s="142"/>
      <c r="C75" s="42">
        <v>2460</v>
      </c>
      <c r="D75" s="42">
        <v>863</v>
      </c>
      <c r="E75" s="42"/>
      <c r="F75" s="41"/>
      <c r="G75" s="41"/>
      <c r="H75" s="41"/>
      <c r="I75" s="41" t="s">
        <v>26</v>
      </c>
    </row>
    <row r="76" spans="1:9" s="4" customFormat="1" ht="17.25" customHeight="1" x14ac:dyDescent="0.25">
      <c r="A76" s="132" t="s">
        <v>97</v>
      </c>
      <c r="B76" s="132"/>
      <c r="C76" s="42">
        <v>2500</v>
      </c>
      <c r="D76" s="42" t="s">
        <v>26</v>
      </c>
      <c r="E76" s="42"/>
      <c r="F76" s="41">
        <f>F77</f>
        <v>0</v>
      </c>
      <c r="G76" s="41">
        <f t="shared" ref="G76:H76" si="5">G77</f>
        <v>0</v>
      </c>
      <c r="H76" s="41">
        <f t="shared" si="5"/>
        <v>0</v>
      </c>
      <c r="I76" s="41" t="s">
        <v>26</v>
      </c>
    </row>
    <row r="77" spans="1:9" s="4" customFormat="1" ht="47.25" customHeight="1" x14ac:dyDescent="0.25">
      <c r="A77" s="132" t="s">
        <v>98</v>
      </c>
      <c r="B77" s="132"/>
      <c r="C77" s="42">
        <v>2520</v>
      </c>
      <c r="D77" s="42">
        <v>831</v>
      </c>
      <c r="E77" s="42"/>
      <c r="F77" s="41"/>
      <c r="G77" s="41"/>
      <c r="H77" s="41"/>
      <c r="I77" s="41"/>
    </row>
    <row r="78" spans="1:9" s="4" customFormat="1" ht="20.25" customHeight="1" x14ac:dyDescent="0.25">
      <c r="A78" s="132" t="s">
        <v>99</v>
      </c>
      <c r="B78" s="132"/>
      <c r="C78" s="42">
        <v>2600</v>
      </c>
      <c r="D78" s="42" t="s">
        <v>26</v>
      </c>
      <c r="E78" s="42"/>
      <c r="F78" s="41">
        <f>F79+F80+F81+F91+F89</f>
        <v>1351609.87</v>
      </c>
      <c r="G78" s="41">
        <f>G79+G80+G81+G91+G89</f>
        <v>1318554.3700000001</v>
      </c>
      <c r="H78" s="41">
        <f>H79+H80+H81+H91+H89</f>
        <v>1413754.37</v>
      </c>
      <c r="I78" s="41"/>
    </row>
    <row r="79" spans="1:9" s="4" customFormat="1" ht="31.5" customHeight="1" x14ac:dyDescent="0.25">
      <c r="A79" s="132" t="s">
        <v>100</v>
      </c>
      <c r="B79" s="132"/>
      <c r="C79" s="42">
        <v>2610</v>
      </c>
      <c r="D79" s="42">
        <v>241</v>
      </c>
      <c r="E79" s="42"/>
      <c r="F79" s="41"/>
      <c r="G79" s="41"/>
      <c r="H79" s="41"/>
      <c r="I79" s="41"/>
    </row>
    <row r="80" spans="1:9" s="4" customFormat="1" ht="30.75" customHeight="1" x14ac:dyDescent="0.25">
      <c r="A80" s="132" t="s">
        <v>101</v>
      </c>
      <c r="B80" s="132"/>
      <c r="C80" s="42">
        <v>2630</v>
      </c>
      <c r="D80" s="42">
        <v>243</v>
      </c>
      <c r="E80" s="42"/>
      <c r="F80" s="41"/>
      <c r="G80" s="41"/>
      <c r="H80" s="41"/>
      <c r="I80" s="41"/>
    </row>
    <row r="81" spans="1:11" s="4" customFormat="1" ht="18" customHeight="1" x14ac:dyDescent="0.25">
      <c r="A81" s="132" t="s">
        <v>102</v>
      </c>
      <c r="B81" s="132"/>
      <c r="C81" s="42">
        <v>2640</v>
      </c>
      <c r="D81" s="42">
        <v>244</v>
      </c>
      <c r="E81" s="42"/>
      <c r="F81" s="41">
        <f>F83+F84+F85+F86+F87+F88</f>
        <v>1178554.4000000001</v>
      </c>
      <c r="G81" s="41">
        <f>G83+G84+G85+G86+G87+G88</f>
        <v>1198554.3700000001</v>
      </c>
      <c r="H81" s="41">
        <f>H83+H84+H85+H86+H87+H88</f>
        <v>1293754.3700000001</v>
      </c>
      <c r="I81" s="41"/>
    </row>
    <row r="82" spans="1:11" s="4" customFormat="1" ht="15.75" customHeight="1" x14ac:dyDescent="0.25">
      <c r="A82" s="139" t="s">
        <v>103</v>
      </c>
      <c r="B82" s="140"/>
      <c r="C82" s="42"/>
      <c r="D82" s="43"/>
      <c r="E82" s="42"/>
      <c r="F82" s="41"/>
      <c r="G82" s="41"/>
      <c r="H82" s="41"/>
      <c r="I82" s="41"/>
    </row>
    <row r="83" spans="1:11" s="4" customFormat="1" ht="15.75" customHeight="1" x14ac:dyDescent="0.25">
      <c r="A83" s="135" t="s">
        <v>104</v>
      </c>
      <c r="B83" s="135"/>
      <c r="C83" s="42">
        <v>2641</v>
      </c>
      <c r="D83" s="43" t="s">
        <v>105</v>
      </c>
      <c r="E83" s="42"/>
      <c r="F83" s="114">
        <v>6899.76</v>
      </c>
      <c r="G83" s="41">
        <v>15000</v>
      </c>
      <c r="H83" s="41">
        <v>15000</v>
      </c>
      <c r="I83" s="41"/>
      <c r="J83" s="4">
        <v>221</v>
      </c>
    </row>
    <row r="84" spans="1:11" s="4" customFormat="1" ht="16.5" customHeight="1" x14ac:dyDescent="0.25">
      <c r="A84" s="135" t="s">
        <v>106</v>
      </c>
      <c r="B84" s="135"/>
      <c r="C84" s="42">
        <v>2642</v>
      </c>
      <c r="D84" s="43" t="s">
        <v>105</v>
      </c>
      <c r="E84" s="42"/>
      <c r="F84" s="114">
        <f>45418.8-21085.6-406.99</f>
        <v>23926.210000000003</v>
      </c>
      <c r="G84" s="41">
        <v>33762.379999999997</v>
      </c>
      <c r="H84" s="41">
        <v>33762.379999999997</v>
      </c>
      <c r="I84" s="41"/>
      <c r="J84" s="4">
        <v>223</v>
      </c>
    </row>
    <row r="85" spans="1:11" s="4" customFormat="1" ht="19.5" customHeight="1" x14ac:dyDescent="0.25">
      <c r="A85" s="136" t="s">
        <v>107</v>
      </c>
      <c r="B85" s="137"/>
      <c r="C85" s="44">
        <v>2643</v>
      </c>
      <c r="D85" s="43" t="s">
        <v>105</v>
      </c>
      <c r="E85" s="42"/>
      <c r="F85" s="113">
        <f>1000+10156.2+14448+51995.18+70700+4328+7548.1+5000-2092.56+7000-19053.41+1658.2</f>
        <v>152687.71000000002</v>
      </c>
      <c r="G85" s="41">
        <f>67985.59+70700</f>
        <v>138685.59</v>
      </c>
      <c r="H85" s="41">
        <f>67985.59+70700</f>
        <v>138685.59</v>
      </c>
      <c r="I85" s="41"/>
      <c r="J85" s="4">
        <v>225</v>
      </c>
      <c r="K85" s="4">
        <f>26534.3+55453.41+70700</f>
        <v>152687.71000000002</v>
      </c>
    </row>
    <row r="86" spans="1:11" s="4" customFormat="1" ht="17.25" customHeight="1" x14ac:dyDescent="0.25">
      <c r="A86" s="135" t="s">
        <v>108</v>
      </c>
      <c r="B86" s="135"/>
      <c r="C86" s="42">
        <v>2644</v>
      </c>
      <c r="D86" s="43" t="s">
        <v>105</v>
      </c>
      <c r="E86" s="42"/>
      <c r="F86" s="113">
        <f>10000+21108.48+89657.77+63523.2+14135.3+500-7433.4+172500-172500+2230.2+18527.1-19968-225.69+240808.35+10000+93000</f>
        <v>535863.31000000006</v>
      </c>
      <c r="G86" s="41">
        <f>215008.84+6035.06</f>
        <v>221043.9</v>
      </c>
      <c r="H86" s="41">
        <v>221043.9</v>
      </c>
      <c r="I86" s="41"/>
      <c r="J86" s="4">
        <v>226</v>
      </c>
      <c r="K86" s="4">
        <f>451993.22+64663.68+274.31+18932.1</f>
        <v>535863.30999999994</v>
      </c>
    </row>
    <row r="87" spans="1:11" s="4" customFormat="1" ht="19.5" customHeight="1" x14ac:dyDescent="0.25">
      <c r="A87" s="138" t="s">
        <v>109</v>
      </c>
      <c r="B87" s="138"/>
      <c r="C87" s="44">
        <v>2645</v>
      </c>
      <c r="D87" s="43" t="s">
        <v>105</v>
      </c>
      <c r="E87" s="42"/>
      <c r="F87" s="114">
        <f>32300+10000+32300+8000-10000</f>
        <v>72600</v>
      </c>
      <c r="G87" s="41">
        <v>161800</v>
      </c>
      <c r="H87" s="41">
        <f>205400+10000</f>
        <v>215400</v>
      </c>
      <c r="I87" s="41"/>
      <c r="J87" s="4">
        <v>310</v>
      </c>
    </row>
    <row r="88" spans="1:11" s="4" customFormat="1" ht="19.5" customHeight="1" x14ac:dyDescent="0.25">
      <c r="A88" s="138" t="s">
        <v>110</v>
      </c>
      <c r="B88" s="138"/>
      <c r="C88" s="44">
        <v>2646</v>
      </c>
      <c r="D88" s="43" t="s">
        <v>105</v>
      </c>
      <c r="E88" s="42"/>
      <c r="F88" s="113">
        <f>309299.35+11900+119169.22+46659.95+8018.13+500+85150.65+7433.4+9349-2230.2-575.2-195113.89-11324.8-2158.2+500</f>
        <v>386577.41000000003</v>
      </c>
      <c r="G88" s="41">
        <f>170362.5+457900</f>
        <v>628262.5</v>
      </c>
      <c r="H88" s="41">
        <f>170362.5+499500</f>
        <v>669862.5</v>
      </c>
      <c r="I88" s="41"/>
      <c r="J88" s="4">
        <v>340</v>
      </c>
      <c r="K88" s="4">
        <f>94303.35+43394.12+7691.78+61637.66+5203.2+10792.1+128377.12+26659.95+8018.13+500</f>
        <v>386577.41000000003</v>
      </c>
    </row>
    <row r="89" spans="1:11" s="4" customFormat="1" ht="15" customHeight="1" x14ac:dyDescent="0.25">
      <c r="A89" s="135" t="s">
        <v>111</v>
      </c>
      <c r="B89" s="135"/>
      <c r="C89" s="42">
        <v>2650</v>
      </c>
      <c r="D89" s="43" t="s">
        <v>112</v>
      </c>
      <c r="E89" s="42"/>
      <c r="F89" s="41">
        <f>F90</f>
        <v>173055.47</v>
      </c>
      <c r="G89" s="41">
        <f>G90</f>
        <v>120000</v>
      </c>
      <c r="H89" s="41">
        <f>H90</f>
        <v>120000</v>
      </c>
      <c r="I89" s="41"/>
    </row>
    <row r="90" spans="1:11" s="4" customFormat="1" ht="28.5" customHeight="1" x14ac:dyDescent="0.25">
      <c r="A90" s="132" t="s">
        <v>113</v>
      </c>
      <c r="B90" s="132"/>
      <c r="C90" s="42">
        <v>2651</v>
      </c>
      <c r="D90" s="42">
        <v>247</v>
      </c>
      <c r="E90" s="42"/>
      <c r="F90" s="114">
        <f>129429.18+180978.76+19081.67+2003.93+15918.33-174356.4</f>
        <v>173055.47</v>
      </c>
      <c r="G90" s="41">
        <v>120000</v>
      </c>
      <c r="H90" s="41">
        <v>120000</v>
      </c>
      <c r="I90" s="41">
        <f t="shared" ref="I90" si="6">I91+I92</f>
        <v>0</v>
      </c>
      <c r="J90" s="4" t="s">
        <v>215</v>
      </c>
      <c r="K90" s="4">
        <f>6622.36+35000+131433.11</f>
        <v>173055.46999999997</v>
      </c>
    </row>
    <row r="91" spans="1:11" s="4" customFormat="1" ht="31.5" customHeight="1" x14ac:dyDescent="0.25">
      <c r="A91" s="135" t="s">
        <v>114</v>
      </c>
      <c r="B91" s="135"/>
      <c r="C91" s="42">
        <v>2700</v>
      </c>
      <c r="D91" s="42">
        <v>400</v>
      </c>
      <c r="E91" s="42"/>
      <c r="F91" s="41">
        <f>F92+F93</f>
        <v>0</v>
      </c>
      <c r="G91" s="41">
        <f>G92+G93</f>
        <v>0</v>
      </c>
      <c r="H91" s="41">
        <f>H92+H93</f>
        <v>0</v>
      </c>
      <c r="I91" s="41"/>
    </row>
    <row r="92" spans="1:11" s="4" customFormat="1" ht="44.25" customHeight="1" x14ac:dyDescent="0.25">
      <c r="A92" s="132" t="s">
        <v>115</v>
      </c>
      <c r="B92" s="132"/>
      <c r="C92" s="42">
        <v>2710</v>
      </c>
      <c r="D92" s="42">
        <v>406</v>
      </c>
      <c r="E92" s="42"/>
      <c r="F92" s="41"/>
      <c r="G92" s="41"/>
      <c r="H92" s="41"/>
      <c r="I92" s="41"/>
    </row>
    <row r="93" spans="1:11" s="4" customFormat="1" ht="15" customHeight="1" x14ac:dyDescent="0.25">
      <c r="A93" s="132" t="s">
        <v>116</v>
      </c>
      <c r="B93" s="132"/>
      <c r="C93" s="42">
        <v>2720</v>
      </c>
      <c r="D93" s="42">
        <v>407</v>
      </c>
      <c r="E93" s="42"/>
      <c r="F93" s="41"/>
      <c r="G93" s="41"/>
      <c r="H93" s="41"/>
      <c r="I93" s="45" t="s">
        <v>26</v>
      </c>
    </row>
    <row r="94" spans="1:11" s="4" customFormat="1" ht="20.25" customHeight="1" x14ac:dyDescent="0.25">
      <c r="A94" s="133" t="s">
        <v>117</v>
      </c>
      <c r="B94" s="133"/>
      <c r="C94" s="46">
        <v>3000</v>
      </c>
      <c r="D94" s="46">
        <v>100</v>
      </c>
      <c r="E94" s="42"/>
      <c r="F94" s="45">
        <f>SUM(F95:F97)</f>
        <v>-3439</v>
      </c>
      <c r="G94" s="45">
        <f t="shared" ref="G94:H94" si="7">SUM(G95:G97)</f>
        <v>0</v>
      </c>
      <c r="H94" s="45">
        <f t="shared" si="7"/>
        <v>0</v>
      </c>
      <c r="I94" s="41" t="s">
        <v>26</v>
      </c>
    </row>
    <row r="95" spans="1:11" s="4" customFormat="1" ht="25.5" customHeight="1" x14ac:dyDescent="0.25">
      <c r="A95" s="132" t="s">
        <v>118</v>
      </c>
      <c r="B95" s="132"/>
      <c r="C95" s="42">
        <v>3010</v>
      </c>
      <c r="D95" s="42"/>
      <c r="E95" s="46"/>
      <c r="F95" s="41">
        <f>-1013-1506-920</f>
        <v>-3439</v>
      </c>
      <c r="G95" s="41"/>
      <c r="H95" s="41"/>
      <c r="I95" s="41" t="s">
        <v>26</v>
      </c>
    </row>
    <row r="96" spans="1:11" x14ac:dyDescent="0.25">
      <c r="A96" s="132" t="s">
        <v>119</v>
      </c>
      <c r="B96" s="132"/>
      <c r="C96" s="42">
        <v>3020</v>
      </c>
      <c r="D96" s="42"/>
      <c r="E96" s="42"/>
      <c r="F96" s="41"/>
      <c r="G96" s="41"/>
      <c r="H96" s="41"/>
      <c r="I96" s="41" t="s">
        <v>26</v>
      </c>
    </row>
    <row r="97" spans="1:14" x14ac:dyDescent="0.25">
      <c r="A97" s="132" t="s">
        <v>120</v>
      </c>
      <c r="B97" s="132"/>
      <c r="C97" s="42">
        <v>3030</v>
      </c>
      <c r="D97" s="42"/>
      <c r="E97" s="42"/>
      <c r="F97" s="41"/>
      <c r="G97" s="41"/>
      <c r="H97" s="41"/>
      <c r="I97" s="45" t="s">
        <v>26</v>
      </c>
    </row>
    <row r="98" spans="1:14" ht="23.25" customHeight="1" x14ac:dyDescent="0.25">
      <c r="A98" s="133" t="s">
        <v>121</v>
      </c>
      <c r="B98" s="133"/>
      <c r="C98" s="46">
        <v>4000</v>
      </c>
      <c r="D98" s="46" t="s">
        <v>26</v>
      </c>
      <c r="E98" s="42"/>
      <c r="F98" s="45">
        <f>F99</f>
        <v>174356.4</v>
      </c>
      <c r="G98" s="45">
        <f t="shared" ref="G98:H98" si="8">G99</f>
        <v>0</v>
      </c>
      <c r="H98" s="45">
        <f t="shared" si="8"/>
        <v>0</v>
      </c>
      <c r="I98" s="41" t="s">
        <v>26</v>
      </c>
    </row>
    <row r="99" spans="1:14" ht="27.75" customHeight="1" x14ac:dyDescent="0.25">
      <c r="A99" s="132" t="s">
        <v>122</v>
      </c>
      <c r="B99" s="132"/>
      <c r="C99" s="42">
        <v>4010</v>
      </c>
      <c r="D99" s="42">
        <v>610</v>
      </c>
      <c r="E99" s="46"/>
      <c r="F99" s="41">
        <v>174356.4</v>
      </c>
      <c r="G99" s="41"/>
      <c r="H99" s="41"/>
      <c r="I99" s="41"/>
    </row>
    <row r="100" spans="1:14" ht="12.75" customHeight="1" x14ac:dyDescent="0.25">
      <c r="A100" s="47"/>
      <c r="B100" s="48"/>
      <c r="C100" s="49"/>
      <c r="D100" s="49"/>
      <c r="E100" s="50"/>
      <c r="F100" s="51"/>
      <c r="G100" s="51"/>
      <c r="H100" s="51"/>
      <c r="I100" s="52"/>
    </row>
    <row r="101" spans="1:14" ht="21.75" customHeight="1" x14ac:dyDescent="0.25">
      <c r="A101" s="134" t="s">
        <v>123</v>
      </c>
      <c r="B101" s="134"/>
      <c r="C101" s="134"/>
      <c r="D101" s="134"/>
      <c r="E101" s="134"/>
      <c r="F101" s="134"/>
      <c r="G101" s="134"/>
      <c r="H101" s="134"/>
      <c r="I101" s="52"/>
    </row>
    <row r="102" spans="1:14" x14ac:dyDescent="0.25">
      <c r="A102" s="53"/>
      <c r="B102" s="52"/>
      <c r="C102" s="54"/>
      <c r="D102" s="54"/>
      <c r="E102" s="54"/>
      <c r="F102" s="54"/>
      <c r="G102" s="55"/>
      <c r="H102" s="54"/>
      <c r="I102" s="56"/>
    </row>
    <row r="103" spans="1:14" ht="14.25" customHeight="1" x14ac:dyDescent="0.25">
      <c r="A103" s="121" t="s">
        <v>124</v>
      </c>
      <c r="B103" s="121" t="s">
        <v>14</v>
      </c>
      <c r="C103" s="121" t="s">
        <v>125</v>
      </c>
      <c r="D103" s="121" t="s">
        <v>126</v>
      </c>
      <c r="E103" s="124" t="s">
        <v>16</v>
      </c>
      <c r="F103" s="127" t="s">
        <v>18</v>
      </c>
      <c r="G103" s="128"/>
      <c r="H103" s="128"/>
      <c r="I103" s="129"/>
    </row>
    <row r="104" spans="1:14" ht="22.5" customHeight="1" x14ac:dyDescent="0.25">
      <c r="A104" s="122"/>
      <c r="B104" s="122"/>
      <c r="C104" s="122"/>
      <c r="D104" s="122"/>
      <c r="E104" s="125"/>
      <c r="F104" s="121" t="s">
        <v>19</v>
      </c>
      <c r="G104" s="108" t="s">
        <v>179</v>
      </c>
      <c r="H104" s="108" t="s">
        <v>193</v>
      </c>
      <c r="I104" s="130" t="s">
        <v>20</v>
      </c>
    </row>
    <row r="105" spans="1:14" ht="44.25" customHeight="1" x14ac:dyDescent="0.25">
      <c r="A105" s="123"/>
      <c r="B105" s="123"/>
      <c r="C105" s="123"/>
      <c r="D105" s="123"/>
      <c r="E105" s="126"/>
      <c r="F105" s="123"/>
      <c r="G105" s="108" t="s">
        <v>22</v>
      </c>
      <c r="H105" s="108" t="s">
        <v>23</v>
      </c>
      <c r="I105" s="131"/>
    </row>
    <row r="106" spans="1:14" x14ac:dyDescent="0.25">
      <c r="A106" s="57">
        <v>1</v>
      </c>
      <c r="B106" s="108">
        <v>2</v>
      </c>
      <c r="C106" s="108">
        <v>3</v>
      </c>
      <c r="D106" s="108">
        <v>4</v>
      </c>
      <c r="E106" s="32" t="s">
        <v>127</v>
      </c>
      <c r="F106" s="108">
        <v>5</v>
      </c>
      <c r="G106" s="108">
        <v>6</v>
      </c>
      <c r="H106" s="108">
        <v>7</v>
      </c>
      <c r="I106" s="58">
        <v>8</v>
      </c>
    </row>
    <row r="107" spans="1:14" ht="22.5" customHeight="1" x14ac:dyDescent="0.25">
      <c r="A107" s="57">
        <v>1</v>
      </c>
      <c r="B107" s="59" t="s">
        <v>128</v>
      </c>
      <c r="C107" s="60">
        <v>26000</v>
      </c>
      <c r="D107" s="60" t="s">
        <v>26</v>
      </c>
      <c r="E107" s="61" t="s">
        <v>26</v>
      </c>
      <c r="F107" s="62">
        <f>F108+F109+F110+F114</f>
        <v>1351609.87</v>
      </c>
      <c r="G107" s="62">
        <f>G108+G109+G110+G114</f>
        <v>1318554.3700000001</v>
      </c>
      <c r="H107" s="62">
        <f t="shared" ref="H107" si="9">H108+H109+H110+H114</f>
        <v>1413754.37</v>
      </c>
      <c r="I107" s="39"/>
      <c r="J107" s="2" t="s">
        <v>214</v>
      </c>
    </row>
    <row r="108" spans="1:14" ht="183.75" customHeight="1" x14ac:dyDescent="0.25">
      <c r="A108" s="63" t="s">
        <v>129</v>
      </c>
      <c r="B108" s="64" t="s">
        <v>182</v>
      </c>
      <c r="C108" s="65">
        <v>26100</v>
      </c>
      <c r="D108" s="40" t="s">
        <v>26</v>
      </c>
      <c r="E108" s="22" t="s">
        <v>26</v>
      </c>
      <c r="F108" s="39">
        <f>500-225.69</f>
        <v>274.31</v>
      </c>
      <c r="G108" s="39"/>
      <c r="H108" s="39"/>
      <c r="I108" s="39"/>
    </row>
    <row r="109" spans="1:14" ht="43.5" customHeight="1" x14ac:dyDescent="0.25">
      <c r="A109" s="63" t="s">
        <v>130</v>
      </c>
      <c r="B109" s="64" t="s">
        <v>131</v>
      </c>
      <c r="C109" s="65">
        <v>26200</v>
      </c>
      <c r="D109" s="40" t="s">
        <v>26</v>
      </c>
      <c r="E109" s="22" t="s">
        <v>26</v>
      </c>
      <c r="F109" s="39"/>
      <c r="G109" s="39"/>
      <c r="H109" s="39"/>
      <c r="I109" s="39"/>
    </row>
    <row r="110" spans="1:14" ht="46.5" customHeight="1" x14ac:dyDescent="0.25">
      <c r="A110" s="63" t="s">
        <v>132</v>
      </c>
      <c r="B110" s="64" t="s">
        <v>133</v>
      </c>
      <c r="C110" s="65">
        <v>26300</v>
      </c>
      <c r="D110" s="40" t="s">
        <v>26</v>
      </c>
      <c r="E110" s="22" t="s">
        <v>26</v>
      </c>
      <c r="F110" s="92">
        <f>377796.14</f>
        <v>377796.14</v>
      </c>
      <c r="G110" s="39">
        <v>0</v>
      </c>
      <c r="H110" s="39">
        <v>0</v>
      </c>
      <c r="I110" s="39"/>
      <c r="J110" s="2">
        <v>130</v>
      </c>
      <c r="K110" s="2">
        <f>23926.21+55453.41+64663.68+61637.66+6899.76+6622.36+131433.11+500+26659.95</f>
        <v>377796.13999999996</v>
      </c>
    </row>
    <row r="111" spans="1:14" ht="17.25" customHeight="1" x14ac:dyDescent="0.25">
      <c r="A111" s="66" t="s">
        <v>134</v>
      </c>
      <c r="B111" s="64" t="s">
        <v>135</v>
      </c>
      <c r="C111" s="65">
        <v>26310</v>
      </c>
      <c r="D111" s="40" t="s">
        <v>26</v>
      </c>
      <c r="E111" s="22" t="s">
        <v>26</v>
      </c>
      <c r="F111" s="39">
        <f>F110</f>
        <v>377796.14</v>
      </c>
      <c r="G111" s="39"/>
      <c r="H111" s="39"/>
      <c r="I111" s="39"/>
      <c r="L111" s="21"/>
      <c r="M111" s="21"/>
      <c r="N111" s="21"/>
    </row>
    <row r="112" spans="1:14" ht="16.5" customHeight="1" x14ac:dyDescent="0.25">
      <c r="A112" s="66"/>
      <c r="B112" s="64" t="s">
        <v>136</v>
      </c>
      <c r="C112" s="65" t="s">
        <v>137</v>
      </c>
      <c r="D112" s="40" t="s">
        <v>26</v>
      </c>
      <c r="E112" s="22">
        <v>150</v>
      </c>
      <c r="F112" s="39"/>
      <c r="G112" s="39"/>
      <c r="H112" s="39"/>
      <c r="I112" s="39"/>
      <c r="L112" s="21"/>
      <c r="M112" s="21"/>
      <c r="N112" s="21"/>
    </row>
    <row r="113" spans="1:14" ht="20.25" customHeight="1" x14ac:dyDescent="0.25">
      <c r="A113" s="66" t="s">
        <v>138</v>
      </c>
      <c r="B113" s="64" t="s">
        <v>139</v>
      </c>
      <c r="C113" s="65">
        <v>26320</v>
      </c>
      <c r="D113" s="40" t="s">
        <v>26</v>
      </c>
      <c r="E113" s="22" t="s">
        <v>26</v>
      </c>
      <c r="F113" s="39"/>
      <c r="G113" s="39"/>
      <c r="H113" s="39"/>
      <c r="I113" s="39"/>
      <c r="L113" s="21"/>
      <c r="M113" s="85"/>
      <c r="N113" s="21"/>
    </row>
    <row r="114" spans="1:14" ht="45" customHeight="1" x14ac:dyDescent="0.25">
      <c r="A114" s="63" t="s">
        <v>140</v>
      </c>
      <c r="B114" s="64" t="s">
        <v>141</v>
      </c>
      <c r="C114" s="65">
        <v>26400</v>
      </c>
      <c r="D114" s="40" t="s">
        <v>26</v>
      </c>
      <c r="E114" s="22" t="s">
        <v>26</v>
      </c>
      <c r="F114" s="39">
        <f>F115+F118+F122+F124+F127</f>
        <v>973539.42</v>
      </c>
      <c r="G114" s="39">
        <f>G115+G118+G122+G124+G127</f>
        <v>1318554.3700000001</v>
      </c>
      <c r="H114" s="39">
        <f>H115+H118+H122+H124+H127</f>
        <v>1413754.37</v>
      </c>
      <c r="I114" s="39"/>
      <c r="J114" s="6" t="s">
        <v>188</v>
      </c>
      <c r="L114" s="86"/>
      <c r="M114" s="86"/>
      <c r="N114" s="21"/>
    </row>
    <row r="115" spans="1:14" ht="44.25" customHeight="1" x14ac:dyDescent="0.25">
      <c r="A115" s="66" t="s">
        <v>142</v>
      </c>
      <c r="B115" s="64" t="s">
        <v>143</v>
      </c>
      <c r="C115" s="65">
        <v>26410</v>
      </c>
      <c r="D115" s="40" t="s">
        <v>26</v>
      </c>
      <c r="E115" s="22" t="s">
        <v>26</v>
      </c>
      <c r="F115" s="39">
        <f>F116+F117</f>
        <v>683052.07000000007</v>
      </c>
      <c r="G115" s="39">
        <f>G116+G117</f>
        <v>925691.87000000011</v>
      </c>
      <c r="H115" s="39">
        <f t="shared" ref="H115" si="10">H116+H117</f>
        <v>967291.87000000011</v>
      </c>
      <c r="I115" s="39"/>
      <c r="L115" s="86"/>
      <c r="M115" s="86"/>
      <c r="N115" s="21"/>
    </row>
    <row r="116" spans="1:14" ht="29.25" customHeight="1" x14ac:dyDescent="0.25">
      <c r="A116" s="66" t="s">
        <v>144</v>
      </c>
      <c r="B116" s="64" t="s">
        <v>145</v>
      </c>
      <c r="C116" s="65">
        <v>26411</v>
      </c>
      <c r="D116" s="40" t="s">
        <v>26</v>
      </c>
      <c r="E116" s="22" t="s">
        <v>26</v>
      </c>
      <c r="F116" s="39">
        <f>F78-F110-F118-F127-F108</f>
        <v>683052.07000000007</v>
      </c>
      <c r="G116" s="39">
        <f>G78-G110-G118-G127</f>
        <v>925691.87000000011</v>
      </c>
      <c r="H116" s="39">
        <f>H78-H110-H118-H127</f>
        <v>967291.87000000011</v>
      </c>
      <c r="I116" s="39"/>
      <c r="L116" s="86"/>
      <c r="M116" s="86"/>
      <c r="N116" s="21"/>
    </row>
    <row r="117" spans="1:14" ht="22.5" customHeight="1" x14ac:dyDescent="0.25">
      <c r="A117" s="66" t="s">
        <v>146</v>
      </c>
      <c r="B117" s="64" t="s">
        <v>147</v>
      </c>
      <c r="C117" s="40">
        <v>26412</v>
      </c>
      <c r="D117" s="40" t="s">
        <v>26</v>
      </c>
      <c r="E117" s="22" t="s">
        <v>26</v>
      </c>
      <c r="F117" s="39"/>
      <c r="G117" s="39"/>
      <c r="H117" s="39"/>
      <c r="I117" s="39"/>
      <c r="L117" s="86"/>
      <c r="M117" s="86"/>
      <c r="N117" s="21"/>
    </row>
    <row r="118" spans="1:14" ht="45.75" customHeight="1" x14ac:dyDescent="0.25">
      <c r="A118" s="66" t="s">
        <v>148</v>
      </c>
      <c r="B118" s="64" t="s">
        <v>149</v>
      </c>
      <c r="C118" s="65">
        <v>26420</v>
      </c>
      <c r="D118" s="40" t="s">
        <v>26</v>
      </c>
      <c r="E118" s="22" t="s">
        <v>26</v>
      </c>
      <c r="F118" s="39">
        <f>F119+F121</f>
        <v>143300</v>
      </c>
      <c r="G118" s="39">
        <f>G119+G121</f>
        <v>222500</v>
      </c>
      <c r="H118" s="39">
        <f t="shared" ref="H118" si="11">H119+H121</f>
        <v>276100</v>
      </c>
      <c r="I118" s="39"/>
      <c r="L118" s="86"/>
      <c r="M118" s="87"/>
      <c r="N118" s="21"/>
    </row>
    <row r="119" spans="1:14" ht="27.75" customHeight="1" x14ac:dyDescent="0.25">
      <c r="A119" s="66" t="s">
        <v>150</v>
      </c>
      <c r="B119" s="64" t="s">
        <v>145</v>
      </c>
      <c r="C119" s="65">
        <v>26421</v>
      </c>
      <c r="D119" s="40" t="s">
        <v>26</v>
      </c>
      <c r="E119" s="22" t="s">
        <v>26</v>
      </c>
      <c r="F119" s="39">
        <f>F34-F36-F37-F35</f>
        <v>143300</v>
      </c>
      <c r="G119" s="39">
        <f>G34-G36-G37-G35</f>
        <v>222500</v>
      </c>
      <c r="H119" s="39">
        <f>H34-H36-H37-H35</f>
        <v>276100</v>
      </c>
      <c r="I119" s="39"/>
      <c r="L119" s="86"/>
      <c r="M119" s="87"/>
      <c r="N119" s="21"/>
    </row>
    <row r="120" spans="1:14" x14ac:dyDescent="0.25">
      <c r="A120" s="66"/>
      <c r="B120" s="64" t="s">
        <v>136</v>
      </c>
      <c r="C120" s="65" t="s">
        <v>151</v>
      </c>
      <c r="D120" s="40" t="s">
        <v>26</v>
      </c>
      <c r="E120" s="22">
        <v>150</v>
      </c>
      <c r="F120" s="39">
        <f>F119</f>
        <v>143300</v>
      </c>
      <c r="G120" s="39">
        <f>G119</f>
        <v>222500</v>
      </c>
      <c r="H120" s="39">
        <f>H119</f>
        <v>276100</v>
      </c>
      <c r="I120" s="39"/>
      <c r="L120" s="87"/>
      <c r="M120" s="88"/>
      <c r="N120" s="21"/>
    </row>
    <row r="121" spans="1:14" ht="18" customHeight="1" x14ac:dyDescent="0.25">
      <c r="A121" s="67" t="s">
        <v>152</v>
      </c>
      <c r="B121" s="64" t="s">
        <v>147</v>
      </c>
      <c r="C121" s="65">
        <v>26422</v>
      </c>
      <c r="D121" s="40" t="s">
        <v>26</v>
      </c>
      <c r="E121" s="22" t="s">
        <v>26</v>
      </c>
      <c r="F121" s="39"/>
      <c r="G121" s="39"/>
      <c r="H121" s="39"/>
      <c r="I121" s="39"/>
      <c r="L121" s="21"/>
      <c r="M121" s="21"/>
      <c r="N121" s="21"/>
    </row>
    <row r="122" spans="1:14" ht="28.5" customHeight="1" x14ac:dyDescent="0.25">
      <c r="A122" s="66" t="s">
        <v>153</v>
      </c>
      <c r="B122" s="64" t="s">
        <v>154</v>
      </c>
      <c r="C122" s="65">
        <v>26430</v>
      </c>
      <c r="D122" s="40" t="s">
        <v>26</v>
      </c>
      <c r="E122" s="22" t="s">
        <v>26</v>
      </c>
      <c r="F122" s="39"/>
      <c r="G122" s="39"/>
      <c r="H122" s="39"/>
      <c r="I122" s="39"/>
      <c r="L122" s="21"/>
      <c r="M122" s="21"/>
      <c r="N122" s="21"/>
    </row>
    <row r="123" spans="1:14" ht="16.5" customHeight="1" x14ac:dyDescent="0.25">
      <c r="A123" s="66"/>
      <c r="B123" s="64" t="s">
        <v>136</v>
      </c>
      <c r="C123" s="65" t="s">
        <v>155</v>
      </c>
      <c r="D123" s="40" t="s">
        <v>26</v>
      </c>
      <c r="E123" s="22">
        <v>150</v>
      </c>
      <c r="F123" s="39"/>
      <c r="G123" s="39"/>
      <c r="H123" s="39"/>
      <c r="I123" s="39">
        <f t="shared" ref="G123:I124" si="12">I124+I125</f>
        <v>0</v>
      </c>
      <c r="L123" s="21"/>
      <c r="M123" s="21"/>
      <c r="N123" s="21"/>
    </row>
    <row r="124" spans="1:14" ht="16.5" customHeight="1" x14ac:dyDescent="0.25">
      <c r="A124" s="66" t="s">
        <v>156</v>
      </c>
      <c r="B124" s="64" t="s">
        <v>157</v>
      </c>
      <c r="C124" s="65">
        <v>26440</v>
      </c>
      <c r="D124" s="40" t="s">
        <v>26</v>
      </c>
      <c r="E124" s="22" t="s">
        <v>26</v>
      </c>
      <c r="F124" s="39">
        <f>F125+F126</f>
        <v>0</v>
      </c>
      <c r="G124" s="39">
        <f t="shared" si="12"/>
        <v>0</v>
      </c>
      <c r="H124" s="39">
        <f t="shared" si="12"/>
        <v>0</v>
      </c>
      <c r="I124" s="39"/>
      <c r="L124" s="21"/>
      <c r="M124" s="21"/>
      <c r="N124" s="21"/>
    </row>
    <row r="125" spans="1:14" ht="29.25" customHeight="1" x14ac:dyDescent="0.25">
      <c r="A125" s="66" t="s">
        <v>158</v>
      </c>
      <c r="B125" s="64" t="s">
        <v>145</v>
      </c>
      <c r="C125" s="65">
        <v>26441</v>
      </c>
      <c r="D125" s="40" t="s">
        <v>26</v>
      </c>
      <c r="E125" s="22" t="s">
        <v>26</v>
      </c>
      <c r="F125" s="39"/>
      <c r="G125" s="39"/>
      <c r="H125" s="39"/>
      <c r="I125" s="39"/>
      <c r="L125" s="21"/>
      <c r="M125" s="21"/>
      <c r="N125" s="21"/>
    </row>
    <row r="126" spans="1:14" ht="18.75" customHeight="1" x14ac:dyDescent="0.25">
      <c r="A126" s="67" t="s">
        <v>159</v>
      </c>
      <c r="B126" s="64" t="s">
        <v>147</v>
      </c>
      <c r="C126" s="65">
        <v>26442</v>
      </c>
      <c r="D126" s="40" t="s">
        <v>26</v>
      </c>
      <c r="E126" s="22" t="s">
        <v>26</v>
      </c>
      <c r="F126" s="39"/>
      <c r="G126" s="39"/>
      <c r="H126" s="39"/>
      <c r="I126" s="39">
        <f t="shared" ref="G126:I127" si="13">I127+I129</f>
        <v>0</v>
      </c>
      <c r="L126" s="21"/>
      <c r="M126" s="21"/>
      <c r="N126" s="21"/>
    </row>
    <row r="127" spans="1:14" ht="18.75" customHeight="1" x14ac:dyDescent="0.25">
      <c r="A127" s="67" t="s">
        <v>160</v>
      </c>
      <c r="B127" s="64" t="s">
        <v>161</v>
      </c>
      <c r="C127" s="65">
        <v>26450</v>
      </c>
      <c r="D127" s="40" t="s">
        <v>26</v>
      </c>
      <c r="E127" s="22" t="s">
        <v>26</v>
      </c>
      <c r="F127" s="39">
        <f>F128+F130</f>
        <v>147187.35</v>
      </c>
      <c r="G127" s="39">
        <f t="shared" si="13"/>
        <v>170362.5</v>
      </c>
      <c r="H127" s="39">
        <f t="shared" si="13"/>
        <v>170362.5</v>
      </c>
      <c r="I127" s="39"/>
      <c r="L127" s="21"/>
      <c r="M127" s="21"/>
      <c r="N127" s="21"/>
    </row>
    <row r="128" spans="1:14" ht="25.5" customHeight="1" x14ac:dyDescent="0.25">
      <c r="A128" s="67" t="s">
        <v>162</v>
      </c>
      <c r="B128" s="64" t="s">
        <v>145</v>
      </c>
      <c r="C128" s="65">
        <v>26451</v>
      </c>
      <c r="D128" s="40" t="s">
        <v>26</v>
      </c>
      <c r="E128" s="22" t="s">
        <v>26</v>
      </c>
      <c r="F128" s="117">
        <f>119169.22+8018.13+20000</f>
        <v>147187.35</v>
      </c>
      <c r="G128" s="39">
        <v>170362.5</v>
      </c>
      <c r="H128" s="39">
        <v>170362.5</v>
      </c>
      <c r="I128" s="39"/>
      <c r="J128" s="2" t="s">
        <v>218</v>
      </c>
      <c r="K128" s="2">
        <f>10792.1+128377.12+8018.13</f>
        <v>147187.35</v>
      </c>
      <c r="L128" s="21"/>
      <c r="M128" s="21"/>
      <c r="N128" s="21"/>
    </row>
    <row r="129" spans="1:14" ht="13.5" customHeight="1" x14ac:dyDescent="0.25">
      <c r="A129" s="67"/>
      <c r="B129" s="64" t="s">
        <v>136</v>
      </c>
      <c r="C129" s="65" t="s">
        <v>163</v>
      </c>
      <c r="D129" s="40" t="s">
        <v>26</v>
      </c>
      <c r="E129" s="22">
        <v>150</v>
      </c>
      <c r="F129" s="39"/>
      <c r="G129" s="39"/>
      <c r="H129" s="39"/>
      <c r="I129" s="39"/>
      <c r="L129" s="21"/>
      <c r="M129" s="21"/>
      <c r="N129" s="21"/>
    </row>
    <row r="130" spans="1:14" ht="16.5" customHeight="1" x14ac:dyDescent="0.25">
      <c r="A130" s="67" t="s">
        <v>164</v>
      </c>
      <c r="B130" s="64" t="s">
        <v>147</v>
      </c>
      <c r="C130" s="65">
        <v>26452</v>
      </c>
      <c r="D130" s="40" t="s">
        <v>26</v>
      </c>
      <c r="E130" s="22" t="s">
        <v>26</v>
      </c>
      <c r="F130" s="39"/>
      <c r="G130" s="39"/>
      <c r="H130" s="39"/>
      <c r="I130" s="39">
        <f>I131</f>
        <v>0</v>
      </c>
      <c r="L130" s="21"/>
      <c r="M130" s="21"/>
      <c r="N130" s="21"/>
    </row>
    <row r="131" spans="1:14" ht="44.25" customHeight="1" x14ac:dyDescent="0.25">
      <c r="A131" s="67" t="s">
        <v>165</v>
      </c>
      <c r="B131" s="64" t="s">
        <v>166</v>
      </c>
      <c r="C131" s="65">
        <v>26500</v>
      </c>
      <c r="D131" s="40" t="s">
        <v>26</v>
      </c>
      <c r="E131" s="22" t="s">
        <v>26</v>
      </c>
      <c r="F131" s="92">
        <f>F133+F134+F135</f>
        <v>973539.42</v>
      </c>
      <c r="G131" s="39">
        <f>G133+G134+G135</f>
        <v>1318554.3700000001</v>
      </c>
      <c r="H131" s="39">
        <f>H133+H134+H135</f>
        <v>1413754.37</v>
      </c>
      <c r="I131" s="39"/>
      <c r="J131" s="2" t="s">
        <v>219</v>
      </c>
      <c r="L131" s="21"/>
      <c r="M131" s="21"/>
      <c r="N131" s="21"/>
    </row>
    <row r="132" spans="1:14" ht="19.5" customHeight="1" x14ac:dyDescent="0.25">
      <c r="A132" s="67"/>
      <c r="B132" s="64" t="s">
        <v>167</v>
      </c>
      <c r="C132" s="65">
        <v>26510</v>
      </c>
      <c r="D132" s="40" t="s">
        <v>26</v>
      </c>
      <c r="E132" s="22" t="s">
        <v>26</v>
      </c>
      <c r="F132" s="39"/>
      <c r="G132" s="39"/>
      <c r="H132" s="39"/>
      <c r="I132" s="39"/>
      <c r="L132" s="21"/>
      <c r="M132" s="21"/>
      <c r="N132" s="21"/>
    </row>
    <row r="133" spans="1:14" ht="17.25" customHeight="1" x14ac:dyDescent="0.25">
      <c r="A133" s="67" t="s">
        <v>168</v>
      </c>
      <c r="B133" s="64" t="s">
        <v>169</v>
      </c>
      <c r="C133" s="65">
        <v>26520</v>
      </c>
      <c r="D133" s="40">
        <v>2023</v>
      </c>
      <c r="E133" s="22"/>
      <c r="F133" s="39">
        <f>F114</f>
        <v>973539.42</v>
      </c>
      <c r="G133" s="39"/>
      <c r="H133" s="39"/>
      <c r="I133" s="39"/>
      <c r="L133" s="21"/>
      <c r="M133" s="21"/>
      <c r="N133" s="21"/>
    </row>
    <row r="134" spans="1:14" ht="14.25" customHeight="1" x14ac:dyDescent="0.25">
      <c r="A134" s="67" t="s">
        <v>170</v>
      </c>
      <c r="B134" s="64" t="s">
        <v>169</v>
      </c>
      <c r="C134" s="65">
        <v>26530</v>
      </c>
      <c r="D134" s="40">
        <v>2024</v>
      </c>
      <c r="E134" s="22"/>
      <c r="F134" s="39"/>
      <c r="G134" s="39">
        <f>G114-G133-G135</f>
        <v>1318554.3700000001</v>
      </c>
      <c r="H134" s="39"/>
      <c r="I134" s="39"/>
      <c r="L134" s="21"/>
      <c r="M134" s="21"/>
      <c r="N134" s="21"/>
    </row>
    <row r="135" spans="1:14" ht="15" customHeight="1" x14ac:dyDescent="0.25">
      <c r="A135" s="67" t="s">
        <v>171</v>
      </c>
      <c r="B135" s="64" t="s">
        <v>169</v>
      </c>
      <c r="C135" s="65">
        <v>26540</v>
      </c>
      <c r="D135" s="40">
        <v>2025</v>
      </c>
      <c r="E135" s="22"/>
      <c r="F135" s="39"/>
      <c r="G135" s="39"/>
      <c r="H135" s="39">
        <f>H114</f>
        <v>1413754.37</v>
      </c>
      <c r="I135" s="39">
        <f>I136+I137</f>
        <v>0</v>
      </c>
      <c r="L135" s="21"/>
      <c r="M135" s="21"/>
      <c r="N135" s="21"/>
    </row>
    <row r="136" spans="1:14" ht="44.25" customHeight="1" x14ac:dyDescent="0.25">
      <c r="A136" s="67" t="s">
        <v>172</v>
      </c>
      <c r="B136" s="64" t="s">
        <v>173</v>
      </c>
      <c r="C136" s="65">
        <v>26600</v>
      </c>
      <c r="D136" s="40" t="s">
        <v>26</v>
      </c>
      <c r="E136" s="22" t="s">
        <v>26</v>
      </c>
      <c r="F136" s="39">
        <f>F137+F138</f>
        <v>0</v>
      </c>
      <c r="G136" s="39">
        <f>G137+G138</f>
        <v>0</v>
      </c>
      <c r="H136" s="39">
        <f>H137+H138</f>
        <v>0</v>
      </c>
      <c r="I136" s="39"/>
      <c r="L136" s="21"/>
      <c r="M136" s="21"/>
      <c r="N136" s="21"/>
    </row>
    <row r="137" spans="1:14" x14ac:dyDescent="0.25">
      <c r="A137" s="67"/>
      <c r="B137" s="64" t="s">
        <v>167</v>
      </c>
      <c r="C137" s="65">
        <v>26610</v>
      </c>
      <c r="D137" s="40"/>
      <c r="E137" s="22"/>
      <c r="F137" s="39"/>
      <c r="G137" s="39"/>
      <c r="H137" s="39"/>
      <c r="I137" s="39"/>
      <c r="L137" s="21"/>
      <c r="M137" s="21"/>
      <c r="N137" s="21"/>
    </row>
    <row r="138" spans="1:14" x14ac:dyDescent="0.25">
      <c r="A138" s="67"/>
      <c r="B138" s="64"/>
      <c r="C138" s="40"/>
      <c r="D138" s="40"/>
      <c r="E138" s="22"/>
      <c r="F138" s="39"/>
      <c r="G138" s="39"/>
      <c r="H138" s="39"/>
      <c r="I138" s="68"/>
      <c r="L138" s="21"/>
      <c r="M138" s="21"/>
      <c r="N138" s="21"/>
    </row>
    <row r="139" spans="1:14" x14ac:dyDescent="0.25">
      <c r="A139" s="69"/>
      <c r="B139" s="70"/>
      <c r="C139" s="71"/>
      <c r="D139" s="71"/>
      <c r="E139" s="71"/>
      <c r="F139" s="71"/>
      <c r="G139" s="71"/>
      <c r="H139" s="71"/>
      <c r="I139" s="19"/>
      <c r="L139" s="21"/>
      <c r="M139" s="21"/>
      <c r="N139" s="21"/>
    </row>
    <row r="140" spans="1:14" ht="18.75" x14ac:dyDescent="0.3">
      <c r="A140" s="72" t="s">
        <v>185</v>
      </c>
      <c r="B140" s="73"/>
      <c r="C140" s="73"/>
      <c r="D140" s="74"/>
      <c r="E140" s="21"/>
      <c r="F140" s="75" t="s">
        <v>186</v>
      </c>
      <c r="G140" s="75"/>
      <c r="H140" s="19"/>
      <c r="I140" s="19"/>
      <c r="L140" s="21"/>
      <c r="M140" s="21"/>
      <c r="N140" s="21"/>
    </row>
    <row r="141" spans="1:14" ht="18.75" x14ac:dyDescent="0.25">
      <c r="A141" s="76"/>
      <c r="B141" s="76"/>
      <c r="C141" s="76"/>
      <c r="D141" s="77" t="s">
        <v>174</v>
      </c>
      <c r="E141" s="19"/>
      <c r="F141" s="78" t="s">
        <v>175</v>
      </c>
      <c r="G141" s="79"/>
      <c r="H141" s="19"/>
      <c r="I141" s="19"/>
      <c r="J141"/>
      <c r="L141" s="21"/>
      <c r="M141" s="21"/>
      <c r="N141" s="21"/>
    </row>
    <row r="142" spans="1:14" ht="18.75" x14ac:dyDescent="0.3">
      <c r="A142" s="72"/>
      <c r="B142" s="73"/>
      <c r="C142" s="73"/>
      <c r="D142" s="74"/>
      <c r="E142" s="21"/>
      <c r="F142" s="75" t="s">
        <v>176</v>
      </c>
      <c r="G142" s="75"/>
      <c r="H142" s="19"/>
      <c r="I142" s="19"/>
      <c r="J142"/>
    </row>
    <row r="143" spans="1:14" ht="18.75" x14ac:dyDescent="0.25">
      <c r="A143" s="76" t="s">
        <v>177</v>
      </c>
      <c r="B143" s="76"/>
      <c r="C143" s="76"/>
      <c r="D143" s="77" t="s">
        <v>174</v>
      </c>
      <c r="E143" s="19"/>
      <c r="F143" s="78" t="s">
        <v>175</v>
      </c>
      <c r="G143" s="79"/>
      <c r="H143" s="19"/>
      <c r="I143" s="19"/>
      <c r="J143"/>
    </row>
    <row r="144" spans="1:14" ht="18.75" x14ac:dyDescent="0.25">
      <c r="A144" s="76"/>
      <c r="B144" s="76"/>
      <c r="C144" s="76"/>
      <c r="D144" s="77"/>
      <c r="E144" s="19"/>
      <c r="F144" s="78"/>
      <c r="G144" s="78"/>
      <c r="H144" s="19"/>
      <c r="I144" s="19"/>
      <c r="J144"/>
    </row>
    <row r="145" spans="1:9" ht="17.25" customHeight="1" x14ac:dyDescent="0.3">
      <c r="A145" s="80" t="s">
        <v>213</v>
      </c>
      <c r="B145" s="80"/>
      <c r="C145" s="80"/>
      <c r="D145" s="80"/>
      <c r="E145" s="81"/>
      <c r="F145" s="81"/>
      <c r="G145" s="73"/>
      <c r="H145" s="73"/>
      <c r="I145" s="73"/>
    </row>
    <row r="146" spans="1:9" ht="18.75" hidden="1" x14ac:dyDescent="0.3">
      <c r="A146" s="120" t="s">
        <v>178</v>
      </c>
      <c r="B146" s="120"/>
      <c r="C146" s="120"/>
      <c r="D146" s="120"/>
      <c r="E146" s="120"/>
      <c r="F146" s="7"/>
      <c r="G146" s="7"/>
      <c r="H146" s="7"/>
      <c r="I146" s="5"/>
    </row>
    <row r="147" spans="1:9" hidden="1" x14ac:dyDescent="0.25">
      <c r="C147" s="5"/>
      <c r="D147" s="5"/>
      <c r="E147" s="5"/>
      <c r="F147" s="5"/>
      <c r="G147" s="5"/>
      <c r="H147" s="5"/>
      <c r="I147" s="5"/>
    </row>
    <row r="148" spans="1:9" hidden="1" x14ac:dyDescent="0.25">
      <c r="C148" s="5"/>
      <c r="D148" s="5"/>
      <c r="E148" s="5"/>
      <c r="F148" s="5"/>
      <c r="G148" s="5"/>
      <c r="H148" s="5"/>
      <c r="I148" s="5"/>
    </row>
    <row r="149" spans="1:9" hidden="1" x14ac:dyDescent="0.25">
      <c r="C149" s="5"/>
      <c r="D149" s="5"/>
      <c r="E149" s="5"/>
      <c r="F149" s="5"/>
      <c r="G149" s="5"/>
      <c r="H149" s="5"/>
      <c r="I149" s="5"/>
    </row>
    <row r="150" spans="1:9" hidden="1" x14ac:dyDescent="0.25">
      <c r="C150" s="5"/>
      <c r="D150" s="5"/>
      <c r="E150" s="5"/>
      <c r="F150" s="5"/>
      <c r="G150" s="5"/>
      <c r="H150" s="5"/>
      <c r="I150" s="5"/>
    </row>
    <row r="151" spans="1:9" hidden="1" x14ac:dyDescent="0.25">
      <c r="C151" s="5"/>
      <c r="D151" s="5"/>
      <c r="E151" s="5"/>
      <c r="F151" s="5"/>
      <c r="G151" s="5"/>
      <c r="H151" s="5"/>
      <c r="I151" s="5"/>
    </row>
    <row r="152" spans="1:9" hidden="1" x14ac:dyDescent="0.25">
      <c r="C152" s="5"/>
      <c r="D152" s="5"/>
      <c r="E152" s="5"/>
      <c r="F152" s="5"/>
      <c r="G152" s="5"/>
      <c r="H152" s="5"/>
      <c r="I152" s="5"/>
    </row>
    <row r="153" spans="1:9" hidden="1" x14ac:dyDescent="0.25">
      <c r="C153" s="5"/>
      <c r="D153" s="5"/>
      <c r="E153" s="5"/>
      <c r="F153" s="5"/>
      <c r="G153" s="5"/>
      <c r="H153" s="5"/>
      <c r="I153" s="5"/>
    </row>
    <row r="154" spans="1:9" hidden="1" x14ac:dyDescent="0.25">
      <c r="C154" s="5"/>
      <c r="D154" s="5"/>
      <c r="E154" s="5"/>
      <c r="F154" s="5"/>
      <c r="G154" s="5"/>
      <c r="H154" s="5"/>
      <c r="I154" s="5"/>
    </row>
    <row r="155" spans="1:9" hidden="1" x14ac:dyDescent="0.25">
      <c r="C155" s="5"/>
      <c r="D155" s="5"/>
      <c r="E155" s="5"/>
      <c r="F155" s="5"/>
      <c r="G155" s="5"/>
      <c r="H155" s="5"/>
      <c r="I155" s="5"/>
    </row>
    <row r="156" spans="1:9" hidden="1" x14ac:dyDescent="0.25">
      <c r="C156" s="5"/>
      <c r="D156" s="5"/>
      <c r="E156" s="5"/>
      <c r="F156" s="5"/>
      <c r="G156" s="5"/>
      <c r="H156" s="5"/>
      <c r="I156" s="5"/>
    </row>
    <row r="157" spans="1:9" hidden="1" x14ac:dyDescent="0.25">
      <c r="C157" s="5"/>
      <c r="D157" s="5"/>
      <c r="E157" s="5"/>
      <c r="F157" s="5"/>
      <c r="G157" s="5"/>
      <c r="H157" s="5"/>
      <c r="I157" s="5"/>
    </row>
    <row r="158" spans="1:9" hidden="1" x14ac:dyDescent="0.25">
      <c r="C158" s="5"/>
      <c r="D158" s="5"/>
      <c r="E158" s="5"/>
      <c r="F158" s="5"/>
      <c r="G158" s="5"/>
      <c r="H158" s="5"/>
      <c r="I158" s="5"/>
    </row>
    <row r="159" spans="1:9" hidden="1" x14ac:dyDescent="0.25">
      <c r="C159" s="5"/>
      <c r="D159" s="5"/>
      <c r="E159" s="5"/>
      <c r="F159" s="5"/>
      <c r="G159" s="5"/>
      <c r="H159" s="5"/>
      <c r="I159" s="5"/>
    </row>
    <row r="160" spans="1:9" hidden="1" x14ac:dyDescent="0.25">
      <c r="C160" s="5"/>
      <c r="D160" s="5"/>
      <c r="E160" s="5"/>
      <c r="F160" s="5"/>
      <c r="G160" s="5"/>
      <c r="H160" s="5"/>
      <c r="I160" s="5"/>
    </row>
    <row r="161" spans="3:8" x14ac:dyDescent="0.25">
      <c r="C161" s="5"/>
      <c r="D161" s="5"/>
      <c r="E161" s="5"/>
      <c r="F161" s="5"/>
      <c r="G161" s="5"/>
      <c r="H161" s="5"/>
    </row>
    <row r="162" spans="3:8" x14ac:dyDescent="0.25">
      <c r="E162" s="5"/>
    </row>
  </sheetData>
  <mergeCells count="101">
    <mergeCell ref="F2:I2"/>
    <mergeCell ref="F4:I4"/>
    <mergeCell ref="B7:I7"/>
    <mergeCell ref="B8:I8"/>
    <mergeCell ref="B10:H10"/>
    <mergeCell ref="B12:F13"/>
    <mergeCell ref="A23:B23"/>
    <mergeCell ref="A24:B24"/>
    <mergeCell ref="A25:B25"/>
    <mergeCell ref="A26:B26"/>
    <mergeCell ref="A27:B27"/>
    <mergeCell ref="A28:B28"/>
    <mergeCell ref="B15:F16"/>
    <mergeCell ref="B19:I19"/>
    <mergeCell ref="A20:B22"/>
    <mergeCell ref="C20:C22"/>
    <mergeCell ref="D20:D22"/>
    <mergeCell ref="E20:E22"/>
    <mergeCell ref="F20:I20"/>
    <mergeCell ref="I21:I22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95:B95"/>
    <mergeCell ref="A96:B96"/>
    <mergeCell ref="A97:B97"/>
    <mergeCell ref="A98:B98"/>
    <mergeCell ref="A99:B99"/>
    <mergeCell ref="A101:H101"/>
    <mergeCell ref="A89:B89"/>
    <mergeCell ref="A90:B90"/>
    <mergeCell ref="A91:B91"/>
    <mergeCell ref="A92:B92"/>
    <mergeCell ref="A93:B93"/>
    <mergeCell ref="A94:B94"/>
    <mergeCell ref="A146:E146"/>
    <mergeCell ref="A103:A105"/>
    <mergeCell ref="B103:B105"/>
    <mergeCell ref="C103:C105"/>
    <mergeCell ref="D103:D105"/>
    <mergeCell ref="E103:E105"/>
    <mergeCell ref="F103:I103"/>
    <mergeCell ref="F104:F105"/>
    <mergeCell ref="I104:I105"/>
  </mergeCells>
  <pageMargins left="0.47244094488188981" right="1.1811023622047245" top="0.59055118110236227" bottom="0.39370078740157483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62"/>
  <sheetViews>
    <sheetView topLeftCell="A22" zoomScaleNormal="100" zoomScaleSheetLayoutView="100" workbookViewId="0">
      <selection activeCell="O115" sqref="O115"/>
    </sheetView>
  </sheetViews>
  <sheetFormatPr defaultColWidth="9.140625" defaultRowHeight="15.75" x14ac:dyDescent="0.25"/>
  <cols>
    <col min="1" max="1" width="7.85546875" style="3" customWidth="1"/>
    <col min="2" max="2" width="62.28515625" style="1" customWidth="1"/>
    <col min="3" max="3" width="7" style="1" customWidth="1"/>
    <col min="4" max="4" width="11.42578125" style="1" customWidth="1"/>
    <col min="5" max="5" width="11.28515625" style="1" customWidth="1"/>
    <col min="6" max="8" width="14" style="1" customWidth="1"/>
    <col min="9" max="9" width="11.7109375" style="1" customWidth="1"/>
    <col min="10" max="10" width="14.28515625" style="2" bestFit="1" customWidth="1"/>
    <col min="11" max="12" width="9.140625" style="2"/>
    <col min="13" max="13" width="29.7109375" style="2" customWidth="1"/>
    <col min="14" max="16384" width="9.140625" style="2"/>
  </cols>
  <sheetData>
    <row r="1" spans="1:9" ht="15" customHeight="1" x14ac:dyDescent="0.25">
      <c r="A1" s="18"/>
      <c r="B1" s="19"/>
      <c r="C1" s="19"/>
      <c r="D1" s="19"/>
      <c r="E1" s="19"/>
      <c r="F1" s="19"/>
      <c r="G1" s="19"/>
      <c r="H1" s="19"/>
      <c r="I1" s="104" t="s">
        <v>0</v>
      </c>
    </row>
    <row r="2" spans="1:9" ht="30" customHeight="1" x14ac:dyDescent="0.25">
      <c r="A2" s="18"/>
      <c r="B2" s="19"/>
      <c r="C2" s="19"/>
      <c r="D2" s="19"/>
      <c r="E2" s="19"/>
      <c r="F2" s="166" t="s">
        <v>1</v>
      </c>
      <c r="G2" s="166"/>
      <c r="H2" s="166"/>
      <c r="I2" s="166"/>
    </row>
    <row r="3" spans="1:9" ht="15" customHeight="1" x14ac:dyDescent="0.25">
      <c r="A3" s="18"/>
      <c r="B3" s="19"/>
      <c r="C3" s="19"/>
      <c r="D3" s="19"/>
      <c r="E3" s="19"/>
      <c r="F3" s="19"/>
      <c r="G3" s="19"/>
      <c r="H3" s="19"/>
      <c r="I3" s="104" t="s">
        <v>2</v>
      </c>
    </row>
    <row r="4" spans="1:9" ht="15" customHeight="1" x14ac:dyDescent="0.25">
      <c r="A4" s="18"/>
      <c r="B4" s="19"/>
      <c r="C4" s="19"/>
      <c r="D4" s="19"/>
      <c r="E4" s="19"/>
      <c r="F4" s="167" t="s">
        <v>209</v>
      </c>
      <c r="G4" s="167"/>
      <c r="H4" s="167"/>
      <c r="I4" s="167"/>
    </row>
    <row r="5" spans="1:9" ht="15" customHeight="1" x14ac:dyDescent="0.25">
      <c r="A5" s="18"/>
      <c r="B5" s="19"/>
      <c r="C5" s="19"/>
      <c r="D5" s="19"/>
      <c r="E5" s="19"/>
      <c r="F5" s="19"/>
      <c r="G5" s="19"/>
      <c r="H5" s="19"/>
      <c r="I5" s="104"/>
    </row>
    <row r="6" spans="1:9" ht="15" customHeight="1" x14ac:dyDescent="0.25">
      <c r="A6" s="18"/>
      <c r="B6" s="19"/>
      <c r="C6" s="19"/>
      <c r="D6" s="19"/>
      <c r="E6" s="19"/>
      <c r="F6" s="19"/>
      <c r="G6" s="19"/>
      <c r="H6" s="19"/>
      <c r="I6" s="19"/>
    </row>
    <row r="7" spans="1:9" ht="15" customHeight="1" x14ac:dyDescent="0.3">
      <c r="A7" s="18"/>
      <c r="B7" s="168" t="s">
        <v>197</v>
      </c>
      <c r="C7" s="168"/>
      <c r="D7" s="168"/>
      <c r="E7" s="168"/>
      <c r="F7" s="168"/>
      <c r="G7" s="168"/>
      <c r="H7" s="168"/>
      <c r="I7" s="168"/>
    </row>
    <row r="8" spans="1:9" ht="15" customHeight="1" x14ac:dyDescent="0.3">
      <c r="A8" s="18"/>
      <c r="B8" s="168" t="s">
        <v>192</v>
      </c>
      <c r="C8" s="168"/>
      <c r="D8" s="168"/>
      <c r="E8" s="168"/>
      <c r="F8" s="168"/>
      <c r="G8" s="168"/>
      <c r="H8" s="168"/>
      <c r="I8" s="168"/>
    </row>
    <row r="9" spans="1:9" ht="15" customHeight="1" x14ac:dyDescent="0.25">
      <c r="A9" s="18"/>
      <c r="B9" s="19"/>
      <c r="C9" s="19"/>
      <c r="D9" s="19"/>
      <c r="E9" s="19"/>
      <c r="F9" s="19"/>
      <c r="G9" s="19"/>
      <c r="H9" s="19"/>
      <c r="I9" s="21"/>
    </row>
    <row r="10" spans="1:9" ht="15" customHeight="1" x14ac:dyDescent="0.25">
      <c r="A10" s="18"/>
      <c r="B10" s="169" t="s">
        <v>210</v>
      </c>
      <c r="C10" s="169"/>
      <c r="D10" s="169"/>
      <c r="E10" s="169"/>
      <c r="F10" s="169"/>
      <c r="G10" s="169"/>
      <c r="H10" s="169"/>
      <c r="I10" s="22" t="s">
        <v>4</v>
      </c>
    </row>
    <row r="11" spans="1:9" ht="15" customHeight="1" x14ac:dyDescent="0.25">
      <c r="A11" s="18"/>
      <c r="B11" s="19"/>
      <c r="C11" s="19"/>
      <c r="D11" s="19"/>
      <c r="E11" s="19"/>
      <c r="F11" s="19"/>
      <c r="G11" s="19"/>
      <c r="H11" s="23" t="s">
        <v>5</v>
      </c>
      <c r="I11" s="24">
        <v>45184</v>
      </c>
    </row>
    <row r="12" spans="1:9" ht="15" customHeight="1" x14ac:dyDescent="0.25">
      <c r="A12" s="18"/>
      <c r="B12" s="154" t="s">
        <v>6</v>
      </c>
      <c r="C12" s="154"/>
      <c r="D12" s="154"/>
      <c r="E12" s="154"/>
      <c r="F12" s="154"/>
      <c r="G12" s="19"/>
      <c r="H12" s="23" t="s">
        <v>7</v>
      </c>
      <c r="I12" s="22"/>
    </row>
    <row r="13" spans="1:9" ht="15" customHeight="1" x14ac:dyDescent="0.25">
      <c r="A13" s="18"/>
      <c r="B13" s="154"/>
      <c r="C13" s="154"/>
      <c r="D13" s="154"/>
      <c r="E13" s="154"/>
      <c r="F13" s="154"/>
      <c r="G13" s="25"/>
      <c r="H13" s="26" t="s">
        <v>8</v>
      </c>
      <c r="I13" s="27">
        <v>925</v>
      </c>
    </row>
    <row r="14" spans="1:9" ht="15" customHeight="1" x14ac:dyDescent="0.25">
      <c r="A14" s="18"/>
      <c r="B14" s="19"/>
      <c r="C14" s="19"/>
      <c r="D14" s="19"/>
      <c r="E14" s="19"/>
      <c r="F14" s="19"/>
      <c r="G14" s="19"/>
      <c r="H14" s="23" t="s">
        <v>7</v>
      </c>
      <c r="I14" s="22"/>
    </row>
    <row r="15" spans="1:9" ht="15" customHeight="1" x14ac:dyDescent="0.25">
      <c r="A15" s="18"/>
      <c r="B15" s="154" t="s">
        <v>184</v>
      </c>
      <c r="C15" s="154"/>
      <c r="D15" s="154"/>
      <c r="E15" s="154"/>
      <c r="F15" s="154"/>
      <c r="G15" s="25"/>
      <c r="H15" s="23" t="s">
        <v>9</v>
      </c>
      <c r="I15" s="22">
        <v>2329020879</v>
      </c>
    </row>
    <row r="16" spans="1:9" ht="15" customHeight="1" x14ac:dyDescent="0.25">
      <c r="A16" s="18"/>
      <c r="B16" s="154"/>
      <c r="C16" s="154"/>
      <c r="D16" s="154"/>
      <c r="E16" s="154"/>
      <c r="F16" s="154"/>
      <c r="G16" s="19"/>
      <c r="H16" s="23" t="s">
        <v>10</v>
      </c>
      <c r="I16" s="22">
        <v>232901001</v>
      </c>
    </row>
    <row r="17" spans="1:9" ht="15" customHeight="1" x14ac:dyDescent="0.25">
      <c r="A17" s="18"/>
      <c r="B17" s="19" t="s">
        <v>11</v>
      </c>
      <c r="C17" s="19"/>
      <c r="D17" s="19"/>
      <c r="E17" s="19"/>
      <c r="F17" s="19"/>
      <c r="G17" s="19"/>
      <c r="H17" s="23" t="s">
        <v>12</v>
      </c>
      <c r="I17" s="22">
        <v>383</v>
      </c>
    </row>
    <row r="18" spans="1:9" ht="15" customHeight="1" x14ac:dyDescent="0.25">
      <c r="A18" s="18"/>
      <c r="B18" s="19"/>
      <c r="C18" s="19"/>
      <c r="D18" s="19"/>
      <c r="E18" s="19"/>
      <c r="F18" s="19"/>
      <c r="G18" s="19"/>
      <c r="H18" s="23"/>
      <c r="I18" s="28"/>
    </row>
    <row r="19" spans="1:9" ht="15" customHeight="1" x14ac:dyDescent="0.25">
      <c r="A19" s="18"/>
      <c r="B19" s="155" t="s">
        <v>13</v>
      </c>
      <c r="C19" s="155"/>
      <c r="D19" s="155"/>
      <c r="E19" s="155"/>
      <c r="F19" s="155"/>
      <c r="G19" s="155"/>
      <c r="H19" s="155"/>
      <c r="I19" s="155"/>
    </row>
    <row r="20" spans="1:9" s="4" customFormat="1" ht="13.5" customHeight="1" x14ac:dyDescent="0.25">
      <c r="A20" s="156" t="s">
        <v>14</v>
      </c>
      <c r="B20" s="157"/>
      <c r="C20" s="130" t="s">
        <v>15</v>
      </c>
      <c r="D20" s="130" t="s">
        <v>16</v>
      </c>
      <c r="E20" s="130" t="s">
        <v>17</v>
      </c>
      <c r="F20" s="163" t="s">
        <v>18</v>
      </c>
      <c r="G20" s="164"/>
      <c r="H20" s="164"/>
      <c r="I20" s="165"/>
    </row>
    <row r="21" spans="1:9" s="4" customFormat="1" ht="15" customHeight="1" x14ac:dyDescent="0.25">
      <c r="A21" s="158"/>
      <c r="B21" s="159"/>
      <c r="C21" s="162"/>
      <c r="D21" s="162"/>
      <c r="E21" s="162"/>
      <c r="F21" s="105" t="s">
        <v>19</v>
      </c>
      <c r="G21" s="105" t="s">
        <v>179</v>
      </c>
      <c r="H21" s="105" t="s">
        <v>193</v>
      </c>
      <c r="I21" s="130" t="s">
        <v>20</v>
      </c>
    </row>
    <row r="22" spans="1:9" s="4" customFormat="1" ht="60" customHeight="1" x14ac:dyDescent="0.25">
      <c r="A22" s="160"/>
      <c r="B22" s="161"/>
      <c r="C22" s="131"/>
      <c r="D22" s="131"/>
      <c r="E22" s="131"/>
      <c r="F22" s="105" t="s">
        <v>21</v>
      </c>
      <c r="G22" s="105" t="s">
        <v>22</v>
      </c>
      <c r="H22" s="105" t="s">
        <v>23</v>
      </c>
      <c r="I22" s="131"/>
    </row>
    <row r="23" spans="1:9" s="4" customFormat="1" ht="12.75" customHeight="1" x14ac:dyDescent="0.25">
      <c r="A23" s="153">
        <v>1</v>
      </c>
      <c r="B23" s="153"/>
      <c r="C23" s="103">
        <v>2</v>
      </c>
      <c r="D23" s="103">
        <v>3</v>
      </c>
      <c r="E23" s="103">
        <v>4</v>
      </c>
      <c r="F23" s="106">
        <v>5</v>
      </c>
      <c r="G23" s="106">
        <v>6</v>
      </c>
      <c r="H23" s="106">
        <v>7</v>
      </c>
      <c r="I23" s="103">
        <v>8</v>
      </c>
    </row>
    <row r="24" spans="1:9" s="4" customFormat="1" ht="15" customHeight="1" x14ac:dyDescent="0.25">
      <c r="A24" s="148" t="s">
        <v>24</v>
      </c>
      <c r="B24" s="148"/>
      <c r="C24" s="32" t="s">
        <v>25</v>
      </c>
      <c r="D24" s="32" t="s">
        <v>26</v>
      </c>
      <c r="E24" s="105" t="s">
        <v>26</v>
      </c>
      <c r="F24" s="33">
        <f>180978.76+5255.14</f>
        <v>186233.90000000002</v>
      </c>
      <c r="G24" s="33">
        <v>0</v>
      </c>
      <c r="H24" s="33">
        <v>0</v>
      </c>
      <c r="I24" s="33">
        <v>0</v>
      </c>
    </row>
    <row r="25" spans="1:9" s="4" customFormat="1" ht="15" customHeight="1" x14ac:dyDescent="0.25">
      <c r="A25" s="148" t="s">
        <v>27</v>
      </c>
      <c r="B25" s="148"/>
      <c r="C25" s="32" t="s">
        <v>28</v>
      </c>
      <c r="D25" s="32" t="s">
        <v>26</v>
      </c>
      <c r="E25" s="105" t="s">
        <v>26</v>
      </c>
      <c r="F25" s="33">
        <f>F26+F24-F47-F98+F94</f>
        <v>3.7834979593753815E-10</v>
      </c>
      <c r="G25" s="33">
        <f>G26+G24-G47-G98+G94</f>
        <v>0</v>
      </c>
      <c r="H25" s="33">
        <f>H26+H24-H47-H98+H94</f>
        <v>9.3132257461547852E-10</v>
      </c>
      <c r="I25" s="33">
        <v>0</v>
      </c>
    </row>
    <row r="26" spans="1:9" s="4" customFormat="1" ht="15" customHeight="1" x14ac:dyDescent="0.2">
      <c r="A26" s="145" t="s">
        <v>29</v>
      </c>
      <c r="B26" s="145"/>
      <c r="C26" s="34" t="s">
        <v>30</v>
      </c>
      <c r="D26" s="35"/>
      <c r="E26" s="36">
        <v>100</v>
      </c>
      <c r="F26" s="37">
        <f>F27+F28+F32+F33+F44+F45+F41</f>
        <v>4543165.41</v>
      </c>
      <c r="G26" s="37">
        <f>G27+G28+G32+G33+G44+G45+G41</f>
        <v>4544323.7700000005</v>
      </c>
      <c r="H26" s="37">
        <f>H27+H28+H32+H44+H45+H41</f>
        <v>4639523.7700000005</v>
      </c>
      <c r="I26" s="37">
        <f>I27+I28+I32+I33+I43+I44</f>
        <v>0</v>
      </c>
    </row>
    <row r="27" spans="1:9" s="4" customFormat="1" ht="26.25" customHeight="1" x14ac:dyDescent="0.25">
      <c r="A27" s="148" t="s">
        <v>31</v>
      </c>
      <c r="B27" s="148"/>
      <c r="C27" s="38" t="s">
        <v>32</v>
      </c>
      <c r="D27" s="32" t="s">
        <v>33</v>
      </c>
      <c r="E27" s="105"/>
      <c r="F27" s="33"/>
      <c r="G27" s="33"/>
      <c r="H27" s="33"/>
      <c r="I27" s="33"/>
    </row>
    <row r="28" spans="1:9" s="4" customFormat="1" ht="15" customHeight="1" x14ac:dyDescent="0.25">
      <c r="A28" s="148" t="s">
        <v>34</v>
      </c>
      <c r="B28" s="148"/>
      <c r="C28" s="32" t="s">
        <v>35</v>
      </c>
      <c r="D28" s="32" t="s">
        <v>36</v>
      </c>
      <c r="E28" s="105">
        <v>131</v>
      </c>
      <c r="F28" s="33">
        <f>F29+F31+F42+F44</f>
        <v>4121965.41</v>
      </c>
      <c r="G28" s="33">
        <f>G29+G31+G42+G44</f>
        <v>4051223.7700000005</v>
      </c>
      <c r="H28" s="33">
        <f>H29+H31+H42+H44+H34</f>
        <v>4639523.7700000005</v>
      </c>
      <c r="I28" s="33">
        <f t="shared" ref="I28" si="0">SUM(I29:I31)</f>
        <v>0</v>
      </c>
    </row>
    <row r="29" spans="1:9" s="4" customFormat="1" ht="61.5" customHeight="1" x14ac:dyDescent="0.25">
      <c r="A29" s="148" t="s">
        <v>37</v>
      </c>
      <c r="B29" s="148"/>
      <c r="C29" s="32" t="s">
        <v>38</v>
      </c>
      <c r="D29" s="32" t="s">
        <v>36</v>
      </c>
      <c r="E29" s="105"/>
      <c r="F29" s="33">
        <f>2184433.1+1521494.77+172500+160796.99+13677+11750.71-172500+30500+15511.34+10000</f>
        <v>3948163.91</v>
      </c>
      <c r="G29" s="33">
        <f>3927840.37-170362.5+111449.66+11933.74</f>
        <v>3880861.2700000005</v>
      </c>
      <c r="H29" s="33">
        <f>3969440.37-170362.5+111449.66+11933.74</f>
        <v>3922461.2700000005</v>
      </c>
      <c r="I29" s="33"/>
    </row>
    <row r="30" spans="1:9" s="4" customFormat="1" ht="48" customHeight="1" x14ac:dyDescent="0.25">
      <c r="A30" s="148" t="s">
        <v>39</v>
      </c>
      <c r="B30" s="148"/>
      <c r="C30" s="32" t="s">
        <v>40</v>
      </c>
      <c r="D30" s="32" t="s">
        <v>36</v>
      </c>
      <c r="E30" s="105"/>
      <c r="F30" s="33"/>
      <c r="G30" s="33"/>
      <c r="H30" s="33"/>
      <c r="I30" s="33"/>
    </row>
    <row r="31" spans="1:9" s="4" customFormat="1" ht="47.25" customHeight="1" x14ac:dyDescent="0.25">
      <c r="A31" s="148" t="s">
        <v>41</v>
      </c>
      <c r="B31" s="148"/>
      <c r="C31" s="32" t="s">
        <v>42</v>
      </c>
      <c r="D31" s="32" t="s">
        <v>36</v>
      </c>
      <c r="E31" s="105"/>
      <c r="F31" s="33">
        <f>170362.5+1013+1506+920</f>
        <v>173801.5</v>
      </c>
      <c r="G31" s="33">
        <v>170362.5</v>
      </c>
      <c r="H31" s="33">
        <v>170362.5</v>
      </c>
      <c r="I31" s="33"/>
    </row>
    <row r="32" spans="1:9" s="4" customFormat="1" ht="15" customHeight="1" x14ac:dyDescent="0.25">
      <c r="A32" s="148" t="s">
        <v>43</v>
      </c>
      <c r="B32" s="148"/>
      <c r="C32" s="32" t="s">
        <v>44</v>
      </c>
      <c r="D32" s="32" t="s">
        <v>45</v>
      </c>
      <c r="E32" s="105"/>
      <c r="F32" s="33"/>
      <c r="G32" s="33"/>
      <c r="H32" s="33"/>
      <c r="I32" s="33"/>
    </row>
    <row r="33" spans="1:9" s="4" customFormat="1" ht="15" customHeight="1" x14ac:dyDescent="0.25">
      <c r="A33" s="148" t="s">
        <v>46</v>
      </c>
      <c r="B33" s="148"/>
      <c r="C33" s="32" t="s">
        <v>47</v>
      </c>
      <c r="D33" s="32" t="s">
        <v>48</v>
      </c>
      <c r="E33" s="105"/>
      <c r="F33" s="33">
        <f>F34</f>
        <v>421200</v>
      </c>
      <c r="G33" s="33">
        <f>G34</f>
        <v>493100</v>
      </c>
      <c r="H33" s="33">
        <f>H34</f>
        <v>546700</v>
      </c>
      <c r="I33" s="33"/>
    </row>
    <row r="34" spans="1:9" s="4" customFormat="1" ht="15" customHeight="1" x14ac:dyDescent="0.25">
      <c r="A34" s="148" t="s">
        <v>49</v>
      </c>
      <c r="B34" s="148"/>
      <c r="C34" s="32" t="s">
        <v>50</v>
      </c>
      <c r="D34" s="32" t="s">
        <v>48</v>
      </c>
      <c r="E34" s="105"/>
      <c r="F34" s="33">
        <f>SUM(F35:F39)</f>
        <v>421200</v>
      </c>
      <c r="G34" s="33">
        <f>SUM(G35:G39)</f>
        <v>493100</v>
      </c>
      <c r="H34" s="33">
        <f>SUM(H35:H39)</f>
        <v>546700</v>
      </c>
      <c r="I34" s="33"/>
    </row>
    <row r="35" spans="1:9" s="4" customFormat="1" ht="27" customHeight="1" x14ac:dyDescent="0.25">
      <c r="A35" s="149" t="s">
        <v>195</v>
      </c>
      <c r="B35" s="150"/>
      <c r="C35" s="32"/>
      <c r="D35" s="32"/>
      <c r="E35" s="105"/>
      <c r="F35" s="33">
        <f>246900-10000</f>
        <v>236900</v>
      </c>
      <c r="G35" s="33">
        <v>236900</v>
      </c>
      <c r="H35" s="33">
        <v>236900</v>
      </c>
      <c r="I35" s="33"/>
    </row>
    <row r="36" spans="1:9" s="4" customFormat="1" ht="26.25" customHeight="1" x14ac:dyDescent="0.25">
      <c r="A36" s="151" t="s">
        <v>196</v>
      </c>
      <c r="B36" s="152"/>
      <c r="C36" s="32"/>
      <c r="D36" s="32"/>
      <c r="E36" s="105"/>
      <c r="F36" s="33">
        <v>0</v>
      </c>
      <c r="G36" s="33">
        <v>10000</v>
      </c>
      <c r="H36" s="33">
        <v>10000</v>
      </c>
      <c r="I36" s="33"/>
    </row>
    <row r="37" spans="1:9" s="4" customFormat="1" ht="35.25" customHeight="1" x14ac:dyDescent="0.25">
      <c r="A37" s="148" t="s">
        <v>183</v>
      </c>
      <c r="B37" s="148"/>
      <c r="C37" s="32"/>
      <c r="D37" s="32"/>
      <c r="E37" s="105"/>
      <c r="F37" s="33">
        <f>23700+17300</f>
        <v>41000</v>
      </c>
      <c r="G37" s="33">
        <v>23700</v>
      </c>
      <c r="H37" s="33">
        <v>23700</v>
      </c>
      <c r="I37" s="33"/>
    </row>
    <row r="38" spans="1:9" s="4" customFormat="1" ht="39" customHeight="1" x14ac:dyDescent="0.25">
      <c r="A38" s="148" t="s">
        <v>180</v>
      </c>
      <c r="B38" s="148"/>
      <c r="C38" s="32"/>
      <c r="D38" s="32"/>
      <c r="E38" s="105"/>
      <c r="F38" s="33">
        <v>70700</v>
      </c>
      <c r="G38" s="33">
        <v>70700</v>
      </c>
      <c r="H38" s="33">
        <v>70700</v>
      </c>
      <c r="I38" s="33"/>
    </row>
    <row r="39" spans="1:9" s="4" customFormat="1" ht="42" customHeight="1" x14ac:dyDescent="0.25">
      <c r="A39" s="148" t="s">
        <v>181</v>
      </c>
      <c r="B39" s="148"/>
      <c r="C39" s="32"/>
      <c r="D39" s="32"/>
      <c r="E39" s="105"/>
      <c r="F39" s="33">
        <f>32300+32300+8000</f>
        <v>72600</v>
      </c>
      <c r="G39" s="33">
        <v>151800</v>
      </c>
      <c r="H39" s="33">
        <v>205400</v>
      </c>
      <c r="I39" s="33"/>
    </row>
    <row r="40" spans="1:9" s="4" customFormat="1" ht="19.5" customHeight="1" x14ac:dyDescent="0.25">
      <c r="A40" s="148" t="s">
        <v>51</v>
      </c>
      <c r="B40" s="148"/>
      <c r="C40" s="32" t="s">
        <v>52</v>
      </c>
      <c r="D40" s="32" t="s">
        <v>48</v>
      </c>
      <c r="E40" s="105"/>
      <c r="F40" s="33"/>
      <c r="G40" s="33"/>
      <c r="H40" s="33"/>
      <c r="I40" s="33"/>
    </row>
    <row r="41" spans="1:9" s="4" customFormat="1" ht="43.5" customHeight="1" x14ac:dyDescent="0.25">
      <c r="A41" s="146" t="s">
        <v>53</v>
      </c>
      <c r="B41" s="147"/>
      <c r="C41" s="32" t="s">
        <v>54</v>
      </c>
      <c r="D41" s="32" t="s">
        <v>48</v>
      </c>
      <c r="E41" s="105"/>
      <c r="F41" s="33"/>
      <c r="G41" s="33"/>
      <c r="H41" s="33"/>
      <c r="I41" s="33"/>
    </row>
    <row r="42" spans="1:9" s="4" customFormat="1" ht="15" customHeight="1" x14ac:dyDescent="0.25">
      <c r="A42" s="148" t="s">
        <v>55</v>
      </c>
      <c r="B42" s="148"/>
      <c r="C42" s="32" t="s">
        <v>56</v>
      </c>
      <c r="D42" s="32" t="s">
        <v>57</v>
      </c>
      <c r="E42" s="105"/>
      <c r="F42" s="33"/>
      <c r="G42" s="33"/>
      <c r="H42" s="33"/>
      <c r="I42" s="33"/>
    </row>
    <row r="43" spans="1:9" s="4" customFormat="1" ht="15" customHeight="1" x14ac:dyDescent="0.25">
      <c r="A43" s="146" t="s">
        <v>58</v>
      </c>
      <c r="B43" s="147"/>
      <c r="C43" s="32"/>
      <c r="D43" s="32"/>
      <c r="E43" s="105"/>
      <c r="F43" s="33"/>
      <c r="G43" s="33"/>
      <c r="H43" s="33"/>
      <c r="I43" s="33"/>
    </row>
    <row r="44" spans="1:9" s="4" customFormat="1" ht="15" customHeight="1" x14ac:dyDescent="0.25">
      <c r="A44" s="148" t="s">
        <v>59</v>
      </c>
      <c r="B44" s="148"/>
      <c r="C44" s="32" t="s">
        <v>60</v>
      </c>
      <c r="D44" s="32" t="s">
        <v>61</v>
      </c>
      <c r="E44" s="105"/>
      <c r="F44" s="33"/>
      <c r="G44" s="33"/>
      <c r="H44" s="33"/>
      <c r="I44" s="33"/>
    </row>
    <row r="45" spans="1:9" s="4" customFormat="1" ht="17.25" customHeight="1" x14ac:dyDescent="0.25">
      <c r="A45" s="148" t="s">
        <v>62</v>
      </c>
      <c r="B45" s="148"/>
      <c r="C45" s="32" t="s">
        <v>63</v>
      </c>
      <c r="D45" s="32" t="s">
        <v>26</v>
      </c>
      <c r="E45" s="105"/>
      <c r="F45" s="33"/>
      <c r="G45" s="33"/>
      <c r="H45" s="33"/>
      <c r="I45" s="33" t="s">
        <v>26</v>
      </c>
    </row>
    <row r="46" spans="1:9" s="4" customFormat="1" ht="42" customHeight="1" x14ac:dyDescent="0.25">
      <c r="A46" s="148" t="s">
        <v>64</v>
      </c>
      <c r="B46" s="148"/>
      <c r="C46" s="32" t="s">
        <v>65</v>
      </c>
      <c r="D46" s="32" t="s">
        <v>66</v>
      </c>
      <c r="E46" s="105"/>
      <c r="F46" s="33"/>
      <c r="G46" s="33"/>
      <c r="H46" s="33"/>
      <c r="I46" s="37"/>
    </row>
    <row r="47" spans="1:9" s="4" customFormat="1" ht="30" customHeight="1" x14ac:dyDescent="0.25">
      <c r="A47" s="145" t="s">
        <v>67</v>
      </c>
      <c r="B47" s="145"/>
      <c r="C47" s="35" t="s">
        <v>68</v>
      </c>
      <c r="D47" s="35" t="s">
        <v>26</v>
      </c>
      <c r="E47" s="36">
        <v>200</v>
      </c>
      <c r="F47" s="37">
        <f>F48+F58+F65+F69+F76+F78</f>
        <v>4551603.91</v>
      </c>
      <c r="G47" s="37">
        <f>G48+G58+G65+G69+G76+G78</f>
        <v>4544323.7700000005</v>
      </c>
      <c r="H47" s="37">
        <f>H48+H58+H65+H69+H76+H78</f>
        <v>4639523.7699999996</v>
      </c>
      <c r="I47" s="39" t="s">
        <v>26</v>
      </c>
    </row>
    <row r="48" spans="1:9" s="4" customFormat="1" ht="25.5" customHeight="1" x14ac:dyDescent="0.25">
      <c r="A48" s="143" t="s">
        <v>69</v>
      </c>
      <c r="B48" s="143"/>
      <c r="C48" s="40">
        <v>2100</v>
      </c>
      <c r="D48" s="35" t="s">
        <v>26</v>
      </c>
      <c r="E48" s="40">
        <v>210</v>
      </c>
      <c r="F48" s="39">
        <f>F49+F50+F51+F52+F53+F54+F55</f>
        <v>3241673.7</v>
      </c>
      <c r="G48" s="39">
        <f>G49+G50+G51+G52+G53+G54+G55</f>
        <v>3193009.4000000004</v>
      </c>
      <c r="H48" s="39">
        <f>H49+H50+H51+H52+H53+H54+H55</f>
        <v>3193009.4</v>
      </c>
      <c r="I48" s="39" t="s">
        <v>26</v>
      </c>
    </row>
    <row r="49" spans="1:9" s="4" customFormat="1" ht="30" customHeight="1" x14ac:dyDescent="0.25">
      <c r="A49" s="144" t="s">
        <v>70</v>
      </c>
      <c r="B49" s="144"/>
      <c r="C49" s="40">
        <v>2110</v>
      </c>
      <c r="D49" s="40">
        <v>111</v>
      </c>
      <c r="E49" s="40">
        <v>211</v>
      </c>
      <c r="F49" s="39">
        <f>1023246+1152426.81+84754.22+97196.62-603.62+785.91-384.02+1159.75+123499.99+9025.12+2319.51</f>
        <v>2493426.2900000005</v>
      </c>
      <c r="G49" s="39">
        <f>1023246+1152426.81+84754.22+97196.62+85598.82+9165.7</f>
        <v>2452388.1700000004</v>
      </c>
      <c r="H49" s="39">
        <f>2357623.65+85598.82+9165.7</f>
        <v>2452388.17</v>
      </c>
      <c r="I49" s="39" t="s">
        <v>26</v>
      </c>
    </row>
    <row r="50" spans="1:9" s="4" customFormat="1" ht="23.25" customHeight="1" x14ac:dyDescent="0.25">
      <c r="A50" s="144" t="s">
        <v>71</v>
      </c>
      <c r="B50" s="144"/>
      <c r="C50" s="40">
        <v>2120</v>
      </c>
      <c r="D50" s="40">
        <v>112</v>
      </c>
      <c r="E50" s="40">
        <v>266</v>
      </c>
      <c r="F50" s="39"/>
      <c r="G50" s="39"/>
      <c r="H50" s="39"/>
      <c r="I50" s="39" t="s">
        <v>26</v>
      </c>
    </row>
    <row r="51" spans="1:9" s="4" customFormat="1" ht="31.5" customHeight="1" x14ac:dyDescent="0.25">
      <c r="A51" s="144" t="s">
        <v>72</v>
      </c>
      <c r="B51" s="144"/>
      <c r="C51" s="40">
        <v>2130</v>
      </c>
      <c r="D51" s="40">
        <v>113</v>
      </c>
      <c r="E51" s="40">
        <v>226</v>
      </c>
      <c r="F51" s="39"/>
      <c r="G51" s="39"/>
      <c r="H51" s="39"/>
      <c r="I51" s="39" t="s">
        <v>26</v>
      </c>
    </row>
    <row r="52" spans="1:9" s="4" customFormat="1" ht="34.5" customHeight="1" x14ac:dyDescent="0.25">
      <c r="A52" s="144" t="s">
        <v>73</v>
      </c>
      <c r="B52" s="144"/>
      <c r="C52" s="40">
        <v>2140</v>
      </c>
      <c r="D52" s="40">
        <v>119</v>
      </c>
      <c r="E52" s="40">
        <v>213</v>
      </c>
      <c r="F52" s="39">
        <f>309020.29+348032.9+25595.78+29353.38-182.29-115.98-1159.75+37297+2725.59-2319.51</f>
        <v>748247.40999999992</v>
      </c>
      <c r="G52" s="39">
        <f>25595.78+29353.38+309020.29+348032.9+25850.84+2768.04</f>
        <v>740621.23</v>
      </c>
      <c r="H52" s="39">
        <f>712002.35+25850.84+2768.04</f>
        <v>740621.23</v>
      </c>
      <c r="I52" s="39" t="s">
        <v>26</v>
      </c>
    </row>
    <row r="53" spans="1:9" s="4" customFormat="1" ht="29.25" customHeight="1" x14ac:dyDescent="0.25">
      <c r="A53" s="144" t="s">
        <v>74</v>
      </c>
      <c r="B53" s="144"/>
      <c r="C53" s="40">
        <v>2150</v>
      </c>
      <c r="D53" s="40">
        <v>131</v>
      </c>
      <c r="E53" s="40"/>
      <c r="F53" s="39"/>
      <c r="G53" s="39"/>
      <c r="H53" s="39"/>
      <c r="I53" s="39" t="s">
        <v>26</v>
      </c>
    </row>
    <row r="54" spans="1:9" s="4" customFormat="1" ht="29.25" customHeight="1" x14ac:dyDescent="0.25">
      <c r="A54" s="144" t="s">
        <v>75</v>
      </c>
      <c r="B54" s="144"/>
      <c r="C54" s="40">
        <v>2170</v>
      </c>
      <c r="D54" s="40">
        <v>134</v>
      </c>
      <c r="E54" s="40"/>
      <c r="F54" s="39"/>
      <c r="G54" s="39"/>
      <c r="H54" s="39"/>
      <c r="I54" s="39" t="s">
        <v>26</v>
      </c>
    </row>
    <row r="55" spans="1:9" s="4" customFormat="1" ht="32.25" customHeight="1" x14ac:dyDescent="0.25">
      <c r="A55" s="144" t="s">
        <v>76</v>
      </c>
      <c r="B55" s="144"/>
      <c r="C55" s="40">
        <v>2180</v>
      </c>
      <c r="D55" s="40">
        <v>139</v>
      </c>
      <c r="E55" s="40"/>
      <c r="F55" s="39">
        <f>F56+F57</f>
        <v>0</v>
      </c>
      <c r="G55" s="39">
        <f t="shared" ref="G55:H55" si="1">G56+G57</f>
        <v>0</v>
      </c>
      <c r="H55" s="39">
        <f t="shared" si="1"/>
        <v>0</v>
      </c>
      <c r="I55" s="39" t="s">
        <v>26</v>
      </c>
    </row>
    <row r="56" spans="1:9" s="4" customFormat="1" ht="30" customHeight="1" x14ac:dyDescent="0.25">
      <c r="A56" s="143" t="s">
        <v>77</v>
      </c>
      <c r="B56" s="143"/>
      <c r="C56" s="40">
        <v>2181</v>
      </c>
      <c r="D56" s="40">
        <v>139</v>
      </c>
      <c r="E56" s="40"/>
      <c r="F56" s="39"/>
      <c r="G56" s="39"/>
      <c r="H56" s="39"/>
      <c r="I56" s="39" t="s">
        <v>26</v>
      </c>
    </row>
    <row r="57" spans="1:9" s="4" customFormat="1" ht="16.5" customHeight="1" x14ac:dyDescent="0.25">
      <c r="A57" s="143" t="s">
        <v>78</v>
      </c>
      <c r="B57" s="143"/>
      <c r="C57" s="40">
        <v>2172</v>
      </c>
      <c r="D57" s="40">
        <v>139</v>
      </c>
      <c r="E57" s="40"/>
      <c r="F57" s="39"/>
      <c r="G57" s="39"/>
      <c r="H57" s="39"/>
      <c r="I57" s="39" t="s">
        <v>26</v>
      </c>
    </row>
    <row r="58" spans="1:9" s="4" customFormat="1" ht="17.25" customHeight="1" x14ac:dyDescent="0.25">
      <c r="A58" s="143" t="s">
        <v>79</v>
      </c>
      <c r="B58" s="143"/>
      <c r="C58" s="40">
        <v>2200</v>
      </c>
      <c r="D58" s="40">
        <v>300</v>
      </c>
      <c r="E58" s="40"/>
      <c r="F58" s="39">
        <f>F59+F62+F63+F64</f>
        <v>41000</v>
      </c>
      <c r="G58" s="39">
        <f>G59+G62+G63+G64</f>
        <v>23700</v>
      </c>
      <c r="H58" s="39">
        <f>H59+H62+H63+H64</f>
        <v>23700</v>
      </c>
      <c r="I58" s="39" t="s">
        <v>26</v>
      </c>
    </row>
    <row r="59" spans="1:9" s="4" customFormat="1" ht="45" customHeight="1" x14ac:dyDescent="0.25">
      <c r="A59" s="143" t="s">
        <v>80</v>
      </c>
      <c r="B59" s="143"/>
      <c r="C59" s="40">
        <v>2210</v>
      </c>
      <c r="D59" s="40">
        <v>320</v>
      </c>
      <c r="E59" s="40"/>
      <c r="F59" s="39">
        <f>SUM(F60:F61)</f>
        <v>41000</v>
      </c>
      <c r="G59" s="39">
        <f t="shared" ref="G59:H59" si="2">SUM(G60:G61)</f>
        <v>23700</v>
      </c>
      <c r="H59" s="39">
        <f t="shared" si="2"/>
        <v>23700</v>
      </c>
      <c r="I59" s="39" t="s">
        <v>26</v>
      </c>
    </row>
    <row r="60" spans="1:9" s="4" customFormat="1" ht="43.5" customHeight="1" x14ac:dyDescent="0.25">
      <c r="A60" s="143" t="s">
        <v>81</v>
      </c>
      <c r="B60" s="143"/>
      <c r="C60" s="40">
        <v>2211</v>
      </c>
      <c r="D60" s="40">
        <v>321</v>
      </c>
      <c r="E60" s="40">
        <v>267</v>
      </c>
      <c r="F60" s="39">
        <f>23700+17300</f>
        <v>41000</v>
      </c>
      <c r="G60" s="39">
        <v>23700</v>
      </c>
      <c r="H60" s="39">
        <v>23700</v>
      </c>
      <c r="I60" s="39"/>
    </row>
    <row r="61" spans="1:9" s="4" customFormat="1" ht="30.75" customHeight="1" x14ac:dyDescent="0.25">
      <c r="A61" s="143" t="s">
        <v>82</v>
      </c>
      <c r="B61" s="143"/>
      <c r="C61" s="40">
        <v>2212</v>
      </c>
      <c r="D61" s="40">
        <v>321</v>
      </c>
      <c r="E61" s="40">
        <v>263</v>
      </c>
      <c r="F61" s="39"/>
      <c r="G61" s="39"/>
      <c r="H61" s="39"/>
      <c r="I61" s="39" t="s">
        <v>26</v>
      </c>
    </row>
    <row r="62" spans="1:9" s="4" customFormat="1" ht="33" customHeight="1" x14ac:dyDescent="0.25">
      <c r="A62" s="143" t="s">
        <v>83</v>
      </c>
      <c r="B62" s="143"/>
      <c r="C62" s="40">
        <v>2220</v>
      </c>
      <c r="D62" s="40">
        <v>340</v>
      </c>
      <c r="E62" s="40"/>
      <c r="F62" s="39"/>
      <c r="G62" s="39"/>
      <c r="H62" s="39"/>
      <c r="I62" s="39" t="s">
        <v>26</v>
      </c>
    </row>
    <row r="63" spans="1:9" s="4" customFormat="1" ht="13.5" customHeight="1" x14ac:dyDescent="0.25">
      <c r="A63" s="143" t="s">
        <v>84</v>
      </c>
      <c r="B63" s="143"/>
      <c r="C63" s="40">
        <v>2230</v>
      </c>
      <c r="D63" s="40">
        <v>350</v>
      </c>
      <c r="E63" s="40"/>
      <c r="F63" s="39"/>
      <c r="G63" s="39"/>
      <c r="H63" s="39"/>
      <c r="I63" s="39" t="s">
        <v>26</v>
      </c>
    </row>
    <row r="64" spans="1:9" s="4" customFormat="1" ht="18" customHeight="1" x14ac:dyDescent="0.25">
      <c r="A64" s="143" t="s">
        <v>85</v>
      </c>
      <c r="B64" s="143"/>
      <c r="C64" s="40">
        <v>2240</v>
      </c>
      <c r="D64" s="40">
        <v>360</v>
      </c>
      <c r="E64" s="40"/>
      <c r="F64" s="39"/>
      <c r="G64" s="39"/>
      <c r="H64" s="39"/>
      <c r="I64" s="39" t="s">
        <v>26</v>
      </c>
    </row>
    <row r="65" spans="1:9" s="4" customFormat="1" ht="17.25" customHeight="1" x14ac:dyDescent="0.25">
      <c r="A65" s="143" t="s">
        <v>86</v>
      </c>
      <c r="B65" s="143"/>
      <c r="C65" s="40">
        <v>2300</v>
      </c>
      <c r="D65" s="40">
        <v>850</v>
      </c>
      <c r="E65" s="40"/>
      <c r="F65" s="39">
        <f>SUM(F66:F68)</f>
        <v>10320.34</v>
      </c>
      <c r="G65" s="39">
        <f t="shared" ref="G65:H65" si="3">SUM(G66:G68)</f>
        <v>9060</v>
      </c>
      <c r="H65" s="39">
        <f t="shared" si="3"/>
        <v>9060</v>
      </c>
      <c r="I65" s="39" t="s">
        <v>26</v>
      </c>
    </row>
    <row r="66" spans="1:9" s="4" customFormat="1" ht="27" customHeight="1" x14ac:dyDescent="0.25">
      <c r="A66" s="143" t="s">
        <v>87</v>
      </c>
      <c r="B66" s="143"/>
      <c r="C66" s="40">
        <v>2310</v>
      </c>
      <c r="D66" s="40">
        <v>851</v>
      </c>
      <c r="E66" s="40">
        <v>290</v>
      </c>
      <c r="F66" s="39">
        <f>9050-316.28</f>
        <v>8733.7199999999993</v>
      </c>
      <c r="G66" s="39">
        <v>9000</v>
      </c>
      <c r="H66" s="39">
        <v>9000</v>
      </c>
      <c r="I66" s="41" t="s">
        <v>26</v>
      </c>
    </row>
    <row r="67" spans="1:9" s="4" customFormat="1" ht="33" customHeight="1" x14ac:dyDescent="0.25">
      <c r="A67" s="132" t="s">
        <v>88</v>
      </c>
      <c r="B67" s="132"/>
      <c r="C67" s="42">
        <v>2320</v>
      </c>
      <c r="D67" s="42">
        <v>852</v>
      </c>
      <c r="E67" s="42">
        <v>290</v>
      </c>
      <c r="F67" s="41">
        <v>0</v>
      </c>
      <c r="G67" s="41">
        <v>60</v>
      </c>
      <c r="H67" s="41">
        <v>60</v>
      </c>
      <c r="I67" s="41" t="s">
        <v>26</v>
      </c>
    </row>
    <row r="68" spans="1:9" s="4" customFormat="1" ht="17.25" customHeight="1" x14ac:dyDescent="0.25">
      <c r="A68" s="132" t="s">
        <v>89</v>
      </c>
      <c r="B68" s="132"/>
      <c r="C68" s="42">
        <v>2330</v>
      </c>
      <c r="D68" s="42">
        <v>853</v>
      </c>
      <c r="E68" s="42">
        <v>290</v>
      </c>
      <c r="F68" s="41">
        <f>10+1270.34+316.28-10</f>
        <v>1586.62</v>
      </c>
      <c r="G68" s="41">
        <v>0</v>
      </c>
      <c r="H68" s="41"/>
      <c r="I68" s="41" t="s">
        <v>26</v>
      </c>
    </row>
    <row r="69" spans="1:9" s="4" customFormat="1" ht="15.75" customHeight="1" x14ac:dyDescent="0.25">
      <c r="A69" s="132" t="s">
        <v>90</v>
      </c>
      <c r="B69" s="132"/>
      <c r="C69" s="42">
        <v>2400</v>
      </c>
      <c r="D69" s="42" t="s">
        <v>26</v>
      </c>
      <c r="E69" s="42"/>
      <c r="F69" s="41">
        <f>SUM(F70:F72)</f>
        <v>0</v>
      </c>
      <c r="G69" s="41">
        <f t="shared" ref="G69:H69" si="4">SUM(G70:G72)</f>
        <v>0</v>
      </c>
      <c r="H69" s="41">
        <f t="shared" si="4"/>
        <v>0</v>
      </c>
      <c r="I69" s="41" t="s">
        <v>26</v>
      </c>
    </row>
    <row r="70" spans="1:9" s="4" customFormat="1" ht="29.25" customHeight="1" x14ac:dyDescent="0.25">
      <c r="A70" s="132" t="s">
        <v>91</v>
      </c>
      <c r="B70" s="132"/>
      <c r="C70" s="42">
        <v>2410</v>
      </c>
      <c r="D70" s="42">
        <v>613</v>
      </c>
      <c r="E70" s="42"/>
      <c r="F70" s="41"/>
      <c r="G70" s="41"/>
      <c r="H70" s="41"/>
      <c r="I70" s="41" t="s">
        <v>26</v>
      </c>
    </row>
    <row r="71" spans="1:9" s="4" customFormat="1" ht="16.5" customHeight="1" x14ac:dyDescent="0.25">
      <c r="A71" s="132" t="s">
        <v>92</v>
      </c>
      <c r="B71" s="132"/>
      <c r="C71" s="42">
        <v>2420</v>
      </c>
      <c r="D71" s="42">
        <v>623</v>
      </c>
      <c r="E71" s="42"/>
      <c r="F71" s="41"/>
      <c r="G71" s="41"/>
      <c r="H71" s="41"/>
      <c r="I71" s="41" t="s">
        <v>26</v>
      </c>
    </row>
    <row r="72" spans="1:9" s="4" customFormat="1" ht="28.5" customHeight="1" x14ac:dyDescent="0.25">
      <c r="A72" s="132" t="s">
        <v>93</v>
      </c>
      <c r="B72" s="132"/>
      <c r="C72" s="42">
        <v>2430</v>
      </c>
      <c r="D72" s="42">
        <v>634</v>
      </c>
      <c r="E72" s="42"/>
      <c r="F72" s="41"/>
      <c r="G72" s="41"/>
      <c r="H72" s="41"/>
      <c r="I72" s="41" t="s">
        <v>26</v>
      </c>
    </row>
    <row r="73" spans="1:9" s="4" customFormat="1" ht="15.75" customHeight="1" x14ac:dyDescent="0.25">
      <c r="A73" s="132" t="s">
        <v>94</v>
      </c>
      <c r="B73" s="132"/>
      <c r="C73" s="42">
        <v>2440</v>
      </c>
      <c r="D73" s="42">
        <v>810</v>
      </c>
      <c r="E73" s="42"/>
      <c r="F73" s="41"/>
      <c r="G73" s="41"/>
      <c r="H73" s="41"/>
      <c r="I73" s="41"/>
    </row>
    <row r="74" spans="1:9" s="4" customFormat="1" ht="16.5" customHeight="1" x14ac:dyDescent="0.25">
      <c r="A74" s="141" t="s">
        <v>95</v>
      </c>
      <c r="B74" s="142"/>
      <c r="C74" s="42">
        <v>2450</v>
      </c>
      <c r="D74" s="42">
        <v>862</v>
      </c>
      <c r="E74" s="42"/>
      <c r="F74" s="41"/>
      <c r="G74" s="41"/>
      <c r="H74" s="41"/>
      <c r="I74" s="41"/>
    </row>
    <row r="75" spans="1:9" s="4" customFormat="1" ht="30" customHeight="1" x14ac:dyDescent="0.25">
      <c r="A75" s="141" t="s">
        <v>96</v>
      </c>
      <c r="B75" s="142"/>
      <c r="C75" s="42">
        <v>2460</v>
      </c>
      <c r="D75" s="42">
        <v>863</v>
      </c>
      <c r="E75" s="42"/>
      <c r="F75" s="41"/>
      <c r="G75" s="41"/>
      <c r="H75" s="41"/>
      <c r="I75" s="41" t="s">
        <v>26</v>
      </c>
    </row>
    <row r="76" spans="1:9" s="4" customFormat="1" ht="17.25" customHeight="1" x14ac:dyDescent="0.25">
      <c r="A76" s="132" t="s">
        <v>97</v>
      </c>
      <c r="B76" s="132"/>
      <c r="C76" s="42">
        <v>2500</v>
      </c>
      <c r="D76" s="42" t="s">
        <v>26</v>
      </c>
      <c r="E76" s="42"/>
      <c r="F76" s="41">
        <f>F77</f>
        <v>0</v>
      </c>
      <c r="G76" s="41">
        <f t="shared" ref="G76:H76" si="5">G77</f>
        <v>0</v>
      </c>
      <c r="H76" s="41">
        <f t="shared" si="5"/>
        <v>0</v>
      </c>
      <c r="I76" s="41" t="s">
        <v>26</v>
      </c>
    </row>
    <row r="77" spans="1:9" s="4" customFormat="1" ht="47.25" customHeight="1" x14ac:dyDescent="0.25">
      <c r="A77" s="132" t="s">
        <v>98</v>
      </c>
      <c r="B77" s="132"/>
      <c r="C77" s="42">
        <v>2520</v>
      </c>
      <c r="D77" s="42">
        <v>831</v>
      </c>
      <c r="E77" s="42"/>
      <c r="F77" s="41"/>
      <c r="G77" s="41"/>
      <c r="H77" s="41"/>
      <c r="I77" s="41"/>
    </row>
    <row r="78" spans="1:9" s="4" customFormat="1" ht="20.25" customHeight="1" x14ac:dyDescent="0.25">
      <c r="A78" s="132" t="s">
        <v>99</v>
      </c>
      <c r="B78" s="132"/>
      <c r="C78" s="42">
        <v>2600</v>
      </c>
      <c r="D78" s="42" t="s">
        <v>26</v>
      </c>
      <c r="E78" s="42"/>
      <c r="F78" s="41">
        <f>F79+F80+F81+F91+F89</f>
        <v>1258609.8700000001</v>
      </c>
      <c r="G78" s="41">
        <f>G79+G80+G81+G91+G89</f>
        <v>1318554.3700000001</v>
      </c>
      <c r="H78" s="41">
        <f>H79+H80+H81+H91+H89</f>
        <v>1413754.37</v>
      </c>
      <c r="I78" s="41"/>
    </row>
    <row r="79" spans="1:9" s="4" customFormat="1" ht="31.5" customHeight="1" x14ac:dyDescent="0.25">
      <c r="A79" s="132" t="s">
        <v>100</v>
      </c>
      <c r="B79" s="132"/>
      <c r="C79" s="42">
        <v>2610</v>
      </c>
      <c r="D79" s="42">
        <v>241</v>
      </c>
      <c r="E79" s="42"/>
      <c r="F79" s="41"/>
      <c r="G79" s="41"/>
      <c r="H79" s="41"/>
      <c r="I79" s="41"/>
    </row>
    <row r="80" spans="1:9" s="4" customFormat="1" ht="30.75" customHeight="1" x14ac:dyDescent="0.25">
      <c r="A80" s="132" t="s">
        <v>101</v>
      </c>
      <c r="B80" s="132"/>
      <c r="C80" s="42">
        <v>2630</v>
      </c>
      <c r="D80" s="42">
        <v>243</v>
      </c>
      <c r="E80" s="42"/>
      <c r="F80" s="41"/>
      <c r="G80" s="41"/>
      <c r="H80" s="41"/>
      <c r="I80" s="41"/>
    </row>
    <row r="81" spans="1:9" s="4" customFormat="1" ht="18" customHeight="1" x14ac:dyDescent="0.25">
      <c r="A81" s="132" t="s">
        <v>102</v>
      </c>
      <c r="B81" s="132"/>
      <c r="C81" s="42">
        <v>2640</v>
      </c>
      <c r="D81" s="42">
        <v>244</v>
      </c>
      <c r="E81" s="42"/>
      <c r="F81" s="41">
        <f>F83+F84+F85+F86+F87+F88</f>
        <v>1085554.4000000001</v>
      </c>
      <c r="G81" s="41">
        <f>G83+G84+G85+G86+G87+G88</f>
        <v>1198554.3700000001</v>
      </c>
      <c r="H81" s="41">
        <f>H83+H84+H85+H86+H87+H88</f>
        <v>1293754.3700000001</v>
      </c>
      <c r="I81" s="41"/>
    </row>
    <row r="82" spans="1:9" s="4" customFormat="1" ht="15.75" customHeight="1" x14ac:dyDescent="0.25">
      <c r="A82" s="139" t="s">
        <v>103</v>
      </c>
      <c r="B82" s="140"/>
      <c r="C82" s="42"/>
      <c r="D82" s="43"/>
      <c r="E82" s="42"/>
      <c r="F82" s="41"/>
      <c r="G82" s="41"/>
      <c r="H82" s="41"/>
      <c r="I82" s="41"/>
    </row>
    <row r="83" spans="1:9" s="4" customFormat="1" ht="15.75" customHeight="1" x14ac:dyDescent="0.25">
      <c r="A83" s="135" t="s">
        <v>104</v>
      </c>
      <c r="B83" s="135"/>
      <c r="C83" s="42">
        <v>2641</v>
      </c>
      <c r="D83" s="43" t="s">
        <v>105</v>
      </c>
      <c r="E83" s="42"/>
      <c r="F83" s="41">
        <v>6899.76</v>
      </c>
      <c r="G83" s="41">
        <v>15000</v>
      </c>
      <c r="H83" s="41">
        <v>15000</v>
      </c>
      <c r="I83" s="41"/>
    </row>
    <row r="84" spans="1:9" s="4" customFormat="1" ht="16.5" customHeight="1" x14ac:dyDescent="0.25">
      <c r="A84" s="135" t="s">
        <v>106</v>
      </c>
      <c r="B84" s="135"/>
      <c r="C84" s="42">
        <v>2642</v>
      </c>
      <c r="D84" s="43" t="s">
        <v>105</v>
      </c>
      <c r="E84" s="42"/>
      <c r="F84" s="41">
        <f>45418.8-21085.6-406.99</f>
        <v>23926.210000000003</v>
      </c>
      <c r="G84" s="41">
        <v>33762.379999999997</v>
      </c>
      <c r="H84" s="41">
        <v>33762.379999999997</v>
      </c>
      <c r="I84" s="41"/>
    </row>
    <row r="85" spans="1:9" s="4" customFormat="1" ht="19.5" customHeight="1" x14ac:dyDescent="0.25">
      <c r="A85" s="136" t="s">
        <v>107</v>
      </c>
      <c r="B85" s="137"/>
      <c r="C85" s="44">
        <v>2643</v>
      </c>
      <c r="D85" s="43" t="s">
        <v>105</v>
      </c>
      <c r="E85" s="42"/>
      <c r="F85" s="41">
        <f>1000+10156.2+14448+51995.18+70700+4328+7548.1+5000-2092.56+7000-19053.41</f>
        <v>151029.51</v>
      </c>
      <c r="G85" s="41">
        <f>67985.59+70700</f>
        <v>138685.59</v>
      </c>
      <c r="H85" s="41">
        <f>67985.59+70700</f>
        <v>138685.59</v>
      </c>
      <c r="I85" s="41"/>
    </row>
    <row r="86" spans="1:9" s="4" customFormat="1" ht="17.25" customHeight="1" x14ac:dyDescent="0.25">
      <c r="A86" s="135" t="s">
        <v>108</v>
      </c>
      <c r="B86" s="135"/>
      <c r="C86" s="42">
        <v>2644</v>
      </c>
      <c r="D86" s="43" t="s">
        <v>105</v>
      </c>
      <c r="E86" s="42"/>
      <c r="F86" s="41">
        <f>10000+21108.48+89657.77+63523.2+14135.3+500-7433.4+172500-172500+2230.2+18527.1-19968-225.69+240808.35+10000</f>
        <v>442863.31</v>
      </c>
      <c r="G86" s="41">
        <f>215008.84+6035.06</f>
        <v>221043.9</v>
      </c>
      <c r="H86" s="41">
        <v>221043.9</v>
      </c>
      <c r="I86" s="41"/>
    </row>
    <row r="87" spans="1:9" s="4" customFormat="1" ht="19.5" customHeight="1" x14ac:dyDescent="0.25">
      <c r="A87" s="138" t="s">
        <v>109</v>
      </c>
      <c r="B87" s="138"/>
      <c r="C87" s="44">
        <v>2645</v>
      </c>
      <c r="D87" s="43" t="s">
        <v>105</v>
      </c>
      <c r="E87" s="42"/>
      <c r="F87" s="41">
        <f>32300+10000+32300+8000-10000</f>
        <v>72600</v>
      </c>
      <c r="G87" s="41">
        <v>161800</v>
      </c>
      <c r="H87" s="41">
        <f>205400+10000</f>
        <v>215400</v>
      </c>
      <c r="I87" s="41"/>
    </row>
    <row r="88" spans="1:9" s="4" customFormat="1" ht="19.5" customHeight="1" x14ac:dyDescent="0.25">
      <c r="A88" s="138" t="s">
        <v>110</v>
      </c>
      <c r="B88" s="138"/>
      <c r="C88" s="44">
        <v>2646</v>
      </c>
      <c r="D88" s="43" t="s">
        <v>105</v>
      </c>
      <c r="E88" s="42"/>
      <c r="F88" s="41">
        <f>309299.35+11900+119169.22+46659.95+8018.13+500+85150.65+7433.4+9349-2230.2-575.2-195113.89-11324.8</f>
        <v>388235.61000000004</v>
      </c>
      <c r="G88" s="41">
        <f>170362.5+457900</f>
        <v>628262.5</v>
      </c>
      <c r="H88" s="41">
        <f>170362.5+499500</f>
        <v>669862.5</v>
      </c>
      <c r="I88" s="41"/>
    </row>
    <row r="89" spans="1:9" s="4" customFormat="1" ht="15" customHeight="1" x14ac:dyDescent="0.25">
      <c r="A89" s="135" t="s">
        <v>111</v>
      </c>
      <c r="B89" s="135"/>
      <c r="C89" s="42">
        <v>2650</v>
      </c>
      <c r="D89" s="43" t="s">
        <v>112</v>
      </c>
      <c r="E89" s="42"/>
      <c r="F89" s="41">
        <f>F90</f>
        <v>173055.47</v>
      </c>
      <c r="G89" s="41">
        <f>G90</f>
        <v>120000</v>
      </c>
      <c r="H89" s="41">
        <f>H90</f>
        <v>120000</v>
      </c>
      <c r="I89" s="41"/>
    </row>
    <row r="90" spans="1:9" s="4" customFormat="1" ht="28.5" customHeight="1" x14ac:dyDescent="0.25">
      <c r="A90" s="132" t="s">
        <v>113</v>
      </c>
      <c r="B90" s="132"/>
      <c r="C90" s="42">
        <v>2651</v>
      </c>
      <c r="D90" s="42">
        <v>247</v>
      </c>
      <c r="E90" s="42"/>
      <c r="F90" s="41">
        <f>129429.18+180978.76+19081.67+2003.93+15918.33-174356.4</f>
        <v>173055.47</v>
      </c>
      <c r="G90" s="41">
        <v>120000</v>
      </c>
      <c r="H90" s="41">
        <v>120000</v>
      </c>
      <c r="I90" s="41">
        <f t="shared" ref="I90" si="6">I91+I92</f>
        <v>0</v>
      </c>
    </row>
    <row r="91" spans="1:9" s="4" customFormat="1" ht="31.5" customHeight="1" x14ac:dyDescent="0.25">
      <c r="A91" s="135" t="s">
        <v>114</v>
      </c>
      <c r="B91" s="135"/>
      <c r="C91" s="42">
        <v>2700</v>
      </c>
      <c r="D91" s="42">
        <v>400</v>
      </c>
      <c r="E91" s="42"/>
      <c r="F91" s="41">
        <f>F92+F93</f>
        <v>0</v>
      </c>
      <c r="G91" s="41">
        <f>G92+G93</f>
        <v>0</v>
      </c>
      <c r="H91" s="41">
        <f>H92+H93</f>
        <v>0</v>
      </c>
      <c r="I91" s="41"/>
    </row>
    <row r="92" spans="1:9" s="4" customFormat="1" ht="44.25" customHeight="1" x14ac:dyDescent="0.25">
      <c r="A92" s="132" t="s">
        <v>115</v>
      </c>
      <c r="B92" s="132"/>
      <c r="C92" s="42">
        <v>2710</v>
      </c>
      <c r="D92" s="42">
        <v>406</v>
      </c>
      <c r="E92" s="42"/>
      <c r="F92" s="41"/>
      <c r="G92" s="41"/>
      <c r="H92" s="41"/>
      <c r="I92" s="41"/>
    </row>
    <row r="93" spans="1:9" s="4" customFormat="1" ht="15" customHeight="1" x14ac:dyDescent="0.25">
      <c r="A93" s="132" t="s">
        <v>116</v>
      </c>
      <c r="B93" s="132"/>
      <c r="C93" s="42">
        <v>2720</v>
      </c>
      <c r="D93" s="42">
        <v>407</v>
      </c>
      <c r="E93" s="42"/>
      <c r="F93" s="41"/>
      <c r="G93" s="41"/>
      <c r="H93" s="41"/>
      <c r="I93" s="45" t="s">
        <v>26</v>
      </c>
    </row>
    <row r="94" spans="1:9" s="4" customFormat="1" ht="20.25" customHeight="1" x14ac:dyDescent="0.25">
      <c r="A94" s="133" t="s">
        <v>117</v>
      </c>
      <c r="B94" s="133"/>
      <c r="C94" s="46">
        <v>3000</v>
      </c>
      <c r="D94" s="46">
        <v>100</v>
      </c>
      <c r="E94" s="42"/>
      <c r="F94" s="45">
        <f>SUM(F95:F97)</f>
        <v>-3439</v>
      </c>
      <c r="G94" s="45">
        <f t="shared" ref="G94:H94" si="7">SUM(G95:G97)</f>
        <v>0</v>
      </c>
      <c r="H94" s="45">
        <f t="shared" si="7"/>
        <v>0</v>
      </c>
      <c r="I94" s="41" t="s">
        <v>26</v>
      </c>
    </row>
    <row r="95" spans="1:9" s="4" customFormat="1" ht="25.5" customHeight="1" x14ac:dyDescent="0.25">
      <c r="A95" s="132" t="s">
        <v>118</v>
      </c>
      <c r="B95" s="132"/>
      <c r="C95" s="42">
        <v>3010</v>
      </c>
      <c r="D95" s="42"/>
      <c r="E95" s="46"/>
      <c r="F95" s="41">
        <f>-1013-1506-920</f>
        <v>-3439</v>
      </c>
      <c r="G95" s="41"/>
      <c r="H95" s="41"/>
      <c r="I95" s="41" t="s">
        <v>26</v>
      </c>
    </row>
    <row r="96" spans="1:9" x14ac:dyDescent="0.25">
      <c r="A96" s="132" t="s">
        <v>119</v>
      </c>
      <c r="B96" s="132"/>
      <c r="C96" s="42">
        <v>3020</v>
      </c>
      <c r="D96" s="42"/>
      <c r="E96" s="42"/>
      <c r="F96" s="41"/>
      <c r="G96" s="41"/>
      <c r="H96" s="41"/>
      <c r="I96" s="41" t="s">
        <v>26</v>
      </c>
    </row>
    <row r="97" spans="1:14" x14ac:dyDescent="0.25">
      <c r="A97" s="132" t="s">
        <v>120</v>
      </c>
      <c r="B97" s="132"/>
      <c r="C97" s="42">
        <v>3030</v>
      </c>
      <c r="D97" s="42"/>
      <c r="E97" s="42"/>
      <c r="F97" s="41"/>
      <c r="G97" s="41"/>
      <c r="H97" s="41"/>
      <c r="I97" s="45" t="s">
        <v>26</v>
      </c>
    </row>
    <row r="98" spans="1:14" ht="23.25" customHeight="1" x14ac:dyDescent="0.25">
      <c r="A98" s="133" t="s">
        <v>121</v>
      </c>
      <c r="B98" s="133"/>
      <c r="C98" s="46">
        <v>4000</v>
      </c>
      <c r="D98" s="46" t="s">
        <v>26</v>
      </c>
      <c r="E98" s="42"/>
      <c r="F98" s="45">
        <f>F99</f>
        <v>174356.4</v>
      </c>
      <c r="G98" s="45">
        <f t="shared" ref="G98:H98" si="8">G99</f>
        <v>0</v>
      </c>
      <c r="H98" s="45">
        <f t="shared" si="8"/>
        <v>0</v>
      </c>
      <c r="I98" s="41" t="s">
        <v>26</v>
      </c>
    </row>
    <row r="99" spans="1:14" ht="27.75" customHeight="1" x14ac:dyDescent="0.25">
      <c r="A99" s="132" t="s">
        <v>122</v>
      </c>
      <c r="B99" s="132"/>
      <c r="C99" s="42">
        <v>4010</v>
      </c>
      <c r="D99" s="42">
        <v>610</v>
      </c>
      <c r="E99" s="46"/>
      <c r="F99" s="41">
        <v>174356.4</v>
      </c>
      <c r="G99" s="41"/>
      <c r="H99" s="41"/>
      <c r="I99" s="41"/>
    </row>
    <row r="100" spans="1:14" ht="12.75" customHeight="1" x14ac:dyDescent="0.25">
      <c r="A100" s="47"/>
      <c r="B100" s="48"/>
      <c r="C100" s="49"/>
      <c r="D100" s="49"/>
      <c r="E100" s="50"/>
      <c r="F100" s="51"/>
      <c r="G100" s="51"/>
      <c r="H100" s="51"/>
      <c r="I100" s="52"/>
    </row>
    <row r="101" spans="1:14" ht="21.75" customHeight="1" x14ac:dyDescent="0.25">
      <c r="A101" s="134" t="s">
        <v>123</v>
      </c>
      <c r="B101" s="134"/>
      <c r="C101" s="134"/>
      <c r="D101" s="134"/>
      <c r="E101" s="134"/>
      <c r="F101" s="134"/>
      <c r="G101" s="134"/>
      <c r="H101" s="134"/>
      <c r="I101" s="52"/>
    </row>
    <row r="102" spans="1:14" x14ac:dyDescent="0.25">
      <c r="A102" s="53"/>
      <c r="B102" s="52"/>
      <c r="C102" s="54"/>
      <c r="D102" s="54"/>
      <c r="E102" s="54"/>
      <c r="F102" s="54"/>
      <c r="G102" s="55"/>
      <c r="H102" s="54"/>
      <c r="I102" s="56"/>
    </row>
    <row r="103" spans="1:14" ht="14.25" customHeight="1" x14ac:dyDescent="0.25">
      <c r="A103" s="121" t="s">
        <v>124</v>
      </c>
      <c r="B103" s="121" t="s">
        <v>14</v>
      </c>
      <c r="C103" s="121" t="s">
        <v>125</v>
      </c>
      <c r="D103" s="121" t="s">
        <v>126</v>
      </c>
      <c r="E103" s="124" t="s">
        <v>16</v>
      </c>
      <c r="F103" s="127" t="s">
        <v>18</v>
      </c>
      <c r="G103" s="128"/>
      <c r="H103" s="128"/>
      <c r="I103" s="129"/>
    </row>
    <row r="104" spans="1:14" ht="22.5" customHeight="1" x14ac:dyDescent="0.25">
      <c r="A104" s="122"/>
      <c r="B104" s="122"/>
      <c r="C104" s="122"/>
      <c r="D104" s="122"/>
      <c r="E104" s="125"/>
      <c r="F104" s="121" t="s">
        <v>19</v>
      </c>
      <c r="G104" s="105" t="s">
        <v>179</v>
      </c>
      <c r="H104" s="105" t="s">
        <v>193</v>
      </c>
      <c r="I104" s="130" t="s">
        <v>20</v>
      </c>
    </row>
    <row r="105" spans="1:14" ht="44.25" customHeight="1" x14ac:dyDescent="0.25">
      <c r="A105" s="123"/>
      <c r="B105" s="123"/>
      <c r="C105" s="123"/>
      <c r="D105" s="123"/>
      <c r="E105" s="126"/>
      <c r="F105" s="123"/>
      <c r="G105" s="105" t="s">
        <v>22</v>
      </c>
      <c r="H105" s="105" t="s">
        <v>23</v>
      </c>
      <c r="I105" s="131"/>
    </row>
    <row r="106" spans="1:14" x14ac:dyDescent="0.25">
      <c r="A106" s="57">
        <v>1</v>
      </c>
      <c r="B106" s="105">
        <v>2</v>
      </c>
      <c r="C106" s="105">
        <v>3</v>
      </c>
      <c r="D106" s="105">
        <v>4</v>
      </c>
      <c r="E106" s="32" t="s">
        <v>127</v>
      </c>
      <c r="F106" s="105">
        <v>5</v>
      </c>
      <c r="G106" s="105">
        <v>6</v>
      </c>
      <c r="H106" s="105">
        <v>7</v>
      </c>
      <c r="I106" s="58">
        <v>8</v>
      </c>
    </row>
    <row r="107" spans="1:14" ht="22.5" customHeight="1" x14ac:dyDescent="0.25">
      <c r="A107" s="57">
        <v>1</v>
      </c>
      <c r="B107" s="59" t="s">
        <v>128</v>
      </c>
      <c r="C107" s="60">
        <v>26000</v>
      </c>
      <c r="D107" s="60" t="s">
        <v>26</v>
      </c>
      <c r="E107" s="61" t="s">
        <v>26</v>
      </c>
      <c r="F107" s="62">
        <f>F108+F109+F110+F114</f>
        <v>1258609.8700000001</v>
      </c>
      <c r="G107" s="62">
        <f>G108+G109+G110+G114</f>
        <v>1318554.3700000001</v>
      </c>
      <c r="H107" s="62">
        <f t="shared" ref="H107" si="9">H108+H109+H110+H114</f>
        <v>1413754.37</v>
      </c>
      <c r="I107" s="39"/>
    </row>
    <row r="108" spans="1:14" ht="183.75" customHeight="1" x14ac:dyDescent="0.25">
      <c r="A108" s="63" t="s">
        <v>129</v>
      </c>
      <c r="B108" s="64" t="s">
        <v>182</v>
      </c>
      <c r="C108" s="65">
        <v>26100</v>
      </c>
      <c r="D108" s="40" t="s">
        <v>26</v>
      </c>
      <c r="E108" s="22" t="s">
        <v>26</v>
      </c>
      <c r="F108" s="39">
        <f>500-225.69</f>
        <v>274.31</v>
      </c>
      <c r="G108" s="39"/>
      <c r="H108" s="39"/>
      <c r="I108" s="39"/>
    </row>
    <row r="109" spans="1:14" ht="43.5" customHeight="1" x14ac:dyDescent="0.25">
      <c r="A109" s="63" t="s">
        <v>130</v>
      </c>
      <c r="B109" s="64" t="s">
        <v>131</v>
      </c>
      <c r="C109" s="65">
        <v>26200</v>
      </c>
      <c r="D109" s="40" t="s">
        <v>26</v>
      </c>
      <c r="E109" s="22" t="s">
        <v>26</v>
      </c>
      <c r="F109" s="39"/>
      <c r="G109" s="39"/>
      <c r="H109" s="39"/>
      <c r="I109" s="39"/>
    </row>
    <row r="110" spans="1:14" ht="46.5" customHeight="1" x14ac:dyDescent="0.25">
      <c r="A110" s="63" t="s">
        <v>132</v>
      </c>
      <c r="B110" s="64" t="s">
        <v>133</v>
      </c>
      <c r="C110" s="65">
        <v>26300</v>
      </c>
      <c r="D110" s="40" t="s">
        <v>26</v>
      </c>
      <c r="E110" s="22" t="s">
        <v>26</v>
      </c>
      <c r="F110" s="39">
        <f>45418.8+10156.2+14448+51995.18+21108.48+63523.2+85150.65+129429.18+6899.76+46659.95+500+180978.76+2003.93-21085.6-23512.99-406.99-2092.56-19053.41-19968-20000-174356.4</f>
        <v>377796.14</v>
      </c>
      <c r="G110" s="39">
        <v>0</v>
      </c>
      <c r="H110" s="39">
        <v>0</v>
      </c>
      <c r="I110" s="39"/>
      <c r="J110" s="2">
        <v>130</v>
      </c>
    </row>
    <row r="111" spans="1:14" ht="17.25" customHeight="1" x14ac:dyDescent="0.25">
      <c r="A111" s="66" t="s">
        <v>134</v>
      </c>
      <c r="B111" s="64" t="s">
        <v>135</v>
      </c>
      <c r="C111" s="65">
        <v>26310</v>
      </c>
      <c r="D111" s="40" t="s">
        <v>26</v>
      </c>
      <c r="E111" s="22" t="s">
        <v>26</v>
      </c>
      <c r="F111" s="39">
        <f>F110</f>
        <v>377796.14</v>
      </c>
      <c r="G111" s="39"/>
      <c r="H111" s="39"/>
      <c r="I111" s="39"/>
      <c r="L111" s="21"/>
      <c r="M111" s="21"/>
      <c r="N111" s="21"/>
    </row>
    <row r="112" spans="1:14" ht="16.5" customHeight="1" x14ac:dyDescent="0.25">
      <c r="A112" s="66"/>
      <c r="B112" s="64" t="s">
        <v>136</v>
      </c>
      <c r="C112" s="65" t="s">
        <v>137</v>
      </c>
      <c r="D112" s="40" t="s">
        <v>26</v>
      </c>
      <c r="E112" s="22">
        <v>150</v>
      </c>
      <c r="F112" s="39"/>
      <c r="G112" s="39"/>
      <c r="H112" s="39"/>
      <c r="I112" s="39"/>
      <c r="L112" s="21"/>
      <c r="M112" s="21"/>
      <c r="N112" s="21"/>
    </row>
    <row r="113" spans="1:14" ht="20.25" customHeight="1" x14ac:dyDescent="0.25">
      <c r="A113" s="66" t="s">
        <v>138</v>
      </c>
      <c r="B113" s="64" t="s">
        <v>139</v>
      </c>
      <c r="C113" s="65">
        <v>26320</v>
      </c>
      <c r="D113" s="40" t="s">
        <v>26</v>
      </c>
      <c r="E113" s="22" t="s">
        <v>26</v>
      </c>
      <c r="F113" s="39"/>
      <c r="G113" s="39"/>
      <c r="H113" s="39"/>
      <c r="I113" s="39"/>
      <c r="L113" s="21"/>
      <c r="M113" s="85"/>
      <c r="N113" s="21"/>
    </row>
    <row r="114" spans="1:14" ht="45" customHeight="1" x14ac:dyDescent="0.25">
      <c r="A114" s="63" t="s">
        <v>140</v>
      </c>
      <c r="B114" s="64" t="s">
        <v>141</v>
      </c>
      <c r="C114" s="65">
        <v>26400</v>
      </c>
      <c r="D114" s="40" t="s">
        <v>26</v>
      </c>
      <c r="E114" s="22" t="s">
        <v>26</v>
      </c>
      <c r="F114" s="39">
        <f>F115+F118+F122+F124+F127</f>
        <v>880539.42</v>
      </c>
      <c r="G114" s="39">
        <f>G115+G118+G122+G124+G127</f>
        <v>1318554.3700000001</v>
      </c>
      <c r="H114" s="39">
        <f>H115+H118+H122+H124+H127</f>
        <v>1413754.37</v>
      </c>
      <c r="I114" s="39"/>
      <c r="J114" s="6" t="s">
        <v>188</v>
      </c>
      <c r="L114" s="86"/>
      <c r="M114" s="86"/>
      <c r="N114" s="21"/>
    </row>
    <row r="115" spans="1:14" ht="44.25" customHeight="1" x14ac:dyDescent="0.25">
      <c r="A115" s="66" t="s">
        <v>142</v>
      </c>
      <c r="B115" s="64" t="s">
        <v>143</v>
      </c>
      <c r="C115" s="65">
        <v>26410</v>
      </c>
      <c r="D115" s="40" t="s">
        <v>26</v>
      </c>
      <c r="E115" s="22" t="s">
        <v>26</v>
      </c>
      <c r="F115" s="39">
        <f>F116+F117</f>
        <v>590052.07000000007</v>
      </c>
      <c r="G115" s="39">
        <f>G116+G117</f>
        <v>925691.87000000011</v>
      </c>
      <c r="H115" s="39">
        <f t="shared" ref="H115" si="10">H116+H117</f>
        <v>967291.87000000011</v>
      </c>
      <c r="I115" s="39"/>
      <c r="L115" s="86"/>
      <c r="M115" s="86"/>
      <c r="N115" s="21"/>
    </row>
    <row r="116" spans="1:14" ht="29.25" customHeight="1" x14ac:dyDescent="0.25">
      <c r="A116" s="66" t="s">
        <v>144</v>
      </c>
      <c r="B116" s="64" t="s">
        <v>145</v>
      </c>
      <c r="C116" s="65">
        <v>26411</v>
      </c>
      <c r="D116" s="40" t="s">
        <v>26</v>
      </c>
      <c r="E116" s="22" t="s">
        <v>26</v>
      </c>
      <c r="F116" s="39">
        <f>F78-F110-F118-F127-F108</f>
        <v>590052.07000000007</v>
      </c>
      <c r="G116" s="39">
        <f>G78-G110-G118-G127</f>
        <v>925691.87000000011</v>
      </c>
      <c r="H116" s="39">
        <f>H78-H110-H118-H127</f>
        <v>967291.87000000011</v>
      </c>
      <c r="I116" s="39"/>
      <c r="L116" s="86"/>
      <c r="M116" s="86"/>
      <c r="N116" s="21"/>
    </row>
    <row r="117" spans="1:14" ht="22.5" customHeight="1" x14ac:dyDescent="0.25">
      <c r="A117" s="66" t="s">
        <v>146</v>
      </c>
      <c r="B117" s="64" t="s">
        <v>147</v>
      </c>
      <c r="C117" s="40">
        <v>26412</v>
      </c>
      <c r="D117" s="40" t="s">
        <v>26</v>
      </c>
      <c r="E117" s="22" t="s">
        <v>26</v>
      </c>
      <c r="F117" s="39"/>
      <c r="G117" s="39"/>
      <c r="H117" s="39"/>
      <c r="I117" s="39"/>
      <c r="L117" s="86"/>
      <c r="M117" s="86"/>
      <c r="N117" s="21"/>
    </row>
    <row r="118" spans="1:14" ht="45.75" customHeight="1" x14ac:dyDescent="0.25">
      <c r="A118" s="66" t="s">
        <v>148</v>
      </c>
      <c r="B118" s="64" t="s">
        <v>149</v>
      </c>
      <c r="C118" s="65">
        <v>26420</v>
      </c>
      <c r="D118" s="40" t="s">
        <v>26</v>
      </c>
      <c r="E118" s="22" t="s">
        <v>26</v>
      </c>
      <c r="F118" s="39">
        <f>F119+F121</f>
        <v>143300</v>
      </c>
      <c r="G118" s="39">
        <f>G119+G121</f>
        <v>222500</v>
      </c>
      <c r="H118" s="39">
        <f t="shared" ref="H118" si="11">H119+H121</f>
        <v>276100</v>
      </c>
      <c r="I118" s="39"/>
      <c r="L118" s="86"/>
      <c r="M118" s="87"/>
      <c r="N118" s="21"/>
    </row>
    <row r="119" spans="1:14" ht="27.75" customHeight="1" x14ac:dyDescent="0.25">
      <c r="A119" s="66" t="s">
        <v>150</v>
      </c>
      <c r="B119" s="64" t="s">
        <v>145</v>
      </c>
      <c r="C119" s="65">
        <v>26421</v>
      </c>
      <c r="D119" s="40" t="s">
        <v>26</v>
      </c>
      <c r="E119" s="22" t="s">
        <v>26</v>
      </c>
      <c r="F119" s="39">
        <f>F34-F36-F37-F35</f>
        <v>143300</v>
      </c>
      <c r="G119" s="39">
        <f>G34-G36-G37-G35</f>
        <v>222500</v>
      </c>
      <c r="H119" s="39">
        <f>H34-H36-H37-H35</f>
        <v>276100</v>
      </c>
      <c r="I119" s="39"/>
      <c r="L119" s="86"/>
      <c r="M119" s="87"/>
      <c r="N119" s="21"/>
    </row>
    <row r="120" spans="1:14" x14ac:dyDescent="0.25">
      <c r="A120" s="66"/>
      <c r="B120" s="64" t="s">
        <v>136</v>
      </c>
      <c r="C120" s="65" t="s">
        <v>151</v>
      </c>
      <c r="D120" s="40" t="s">
        <v>26</v>
      </c>
      <c r="E120" s="22">
        <v>150</v>
      </c>
      <c r="F120" s="39">
        <f>F119</f>
        <v>143300</v>
      </c>
      <c r="G120" s="39">
        <f>G119</f>
        <v>222500</v>
      </c>
      <c r="H120" s="39">
        <f>H119</f>
        <v>276100</v>
      </c>
      <c r="I120" s="39"/>
      <c r="L120" s="87"/>
      <c r="M120" s="88"/>
      <c r="N120" s="21"/>
    </row>
    <row r="121" spans="1:14" ht="18" customHeight="1" x14ac:dyDescent="0.25">
      <c r="A121" s="67" t="s">
        <v>152</v>
      </c>
      <c r="B121" s="64" t="s">
        <v>147</v>
      </c>
      <c r="C121" s="65">
        <v>26422</v>
      </c>
      <c r="D121" s="40" t="s">
        <v>26</v>
      </c>
      <c r="E121" s="22" t="s">
        <v>26</v>
      </c>
      <c r="F121" s="39"/>
      <c r="G121" s="39"/>
      <c r="H121" s="39"/>
      <c r="I121" s="39"/>
      <c r="L121" s="21"/>
      <c r="M121" s="21"/>
      <c r="N121" s="21"/>
    </row>
    <row r="122" spans="1:14" ht="28.5" customHeight="1" x14ac:dyDescent="0.25">
      <c r="A122" s="66" t="s">
        <v>153</v>
      </c>
      <c r="B122" s="64" t="s">
        <v>154</v>
      </c>
      <c r="C122" s="65">
        <v>26430</v>
      </c>
      <c r="D122" s="40" t="s">
        <v>26</v>
      </c>
      <c r="E122" s="22" t="s">
        <v>26</v>
      </c>
      <c r="F122" s="39"/>
      <c r="G122" s="39"/>
      <c r="H122" s="39"/>
      <c r="I122" s="39"/>
      <c r="L122" s="21"/>
      <c r="M122" s="21"/>
      <c r="N122" s="21"/>
    </row>
    <row r="123" spans="1:14" ht="16.5" customHeight="1" x14ac:dyDescent="0.25">
      <c r="A123" s="66"/>
      <c r="B123" s="64" t="s">
        <v>136</v>
      </c>
      <c r="C123" s="65" t="s">
        <v>155</v>
      </c>
      <c r="D123" s="40" t="s">
        <v>26</v>
      </c>
      <c r="E123" s="22">
        <v>150</v>
      </c>
      <c r="F123" s="39"/>
      <c r="G123" s="39"/>
      <c r="H123" s="39"/>
      <c r="I123" s="39">
        <f t="shared" ref="G123:I124" si="12">I124+I125</f>
        <v>0</v>
      </c>
      <c r="L123" s="21"/>
      <c r="M123" s="21"/>
      <c r="N123" s="21"/>
    </row>
    <row r="124" spans="1:14" ht="16.5" customHeight="1" x14ac:dyDescent="0.25">
      <c r="A124" s="66" t="s">
        <v>156</v>
      </c>
      <c r="B124" s="64" t="s">
        <v>157</v>
      </c>
      <c r="C124" s="65">
        <v>26440</v>
      </c>
      <c r="D124" s="40" t="s">
        <v>26</v>
      </c>
      <c r="E124" s="22" t="s">
        <v>26</v>
      </c>
      <c r="F124" s="39">
        <f>F125+F126</f>
        <v>0</v>
      </c>
      <c r="G124" s="39">
        <f t="shared" si="12"/>
        <v>0</v>
      </c>
      <c r="H124" s="39">
        <f t="shared" si="12"/>
        <v>0</v>
      </c>
      <c r="I124" s="39"/>
      <c r="L124" s="21"/>
      <c r="M124" s="21"/>
      <c r="N124" s="21"/>
    </row>
    <row r="125" spans="1:14" ht="29.25" customHeight="1" x14ac:dyDescent="0.25">
      <c r="A125" s="66" t="s">
        <v>158</v>
      </c>
      <c r="B125" s="64" t="s">
        <v>145</v>
      </c>
      <c r="C125" s="65">
        <v>26441</v>
      </c>
      <c r="D125" s="40" t="s">
        <v>26</v>
      </c>
      <c r="E125" s="22" t="s">
        <v>26</v>
      </c>
      <c r="F125" s="39"/>
      <c r="G125" s="39"/>
      <c r="H125" s="39"/>
      <c r="I125" s="39"/>
      <c r="L125" s="21"/>
      <c r="M125" s="21"/>
      <c r="N125" s="21"/>
    </row>
    <row r="126" spans="1:14" ht="18.75" customHeight="1" x14ac:dyDescent="0.25">
      <c r="A126" s="67" t="s">
        <v>159</v>
      </c>
      <c r="B126" s="64" t="s">
        <v>147</v>
      </c>
      <c r="C126" s="65">
        <v>26442</v>
      </c>
      <c r="D126" s="40" t="s">
        <v>26</v>
      </c>
      <c r="E126" s="22" t="s">
        <v>26</v>
      </c>
      <c r="F126" s="39"/>
      <c r="G126" s="39"/>
      <c r="H126" s="39"/>
      <c r="I126" s="39">
        <f t="shared" ref="G126:I127" si="13">I127+I129</f>
        <v>0</v>
      </c>
      <c r="L126" s="21"/>
      <c r="M126" s="21"/>
      <c r="N126" s="21"/>
    </row>
    <row r="127" spans="1:14" ht="18.75" customHeight="1" x14ac:dyDescent="0.25">
      <c r="A127" s="67" t="s">
        <v>160</v>
      </c>
      <c r="B127" s="64" t="s">
        <v>161</v>
      </c>
      <c r="C127" s="65">
        <v>26450</v>
      </c>
      <c r="D127" s="40" t="s">
        <v>26</v>
      </c>
      <c r="E127" s="22" t="s">
        <v>26</v>
      </c>
      <c r="F127" s="39">
        <f>F128+F130</f>
        <v>147187.35</v>
      </c>
      <c r="G127" s="39">
        <f t="shared" si="13"/>
        <v>170362.5</v>
      </c>
      <c r="H127" s="39">
        <f t="shared" si="13"/>
        <v>170362.5</v>
      </c>
      <c r="I127" s="39"/>
      <c r="L127" s="21"/>
      <c r="M127" s="21"/>
      <c r="N127" s="21"/>
    </row>
    <row r="128" spans="1:14" ht="25.5" customHeight="1" x14ac:dyDescent="0.25">
      <c r="A128" s="67" t="s">
        <v>162</v>
      </c>
      <c r="B128" s="64" t="s">
        <v>145</v>
      </c>
      <c r="C128" s="65">
        <v>26451</v>
      </c>
      <c r="D128" s="40" t="s">
        <v>26</v>
      </c>
      <c r="E128" s="22" t="s">
        <v>26</v>
      </c>
      <c r="F128" s="39">
        <f>119169.22+8018.13+20000</f>
        <v>147187.35</v>
      </c>
      <c r="G128" s="39">
        <v>170362.5</v>
      </c>
      <c r="H128" s="39">
        <v>170362.5</v>
      </c>
      <c r="I128" s="39"/>
      <c r="L128" s="21"/>
      <c r="M128" s="21"/>
      <c r="N128" s="21"/>
    </row>
    <row r="129" spans="1:14" ht="13.5" customHeight="1" x14ac:dyDescent="0.25">
      <c r="A129" s="67"/>
      <c r="B129" s="64" t="s">
        <v>136</v>
      </c>
      <c r="C129" s="65" t="s">
        <v>163</v>
      </c>
      <c r="D129" s="40" t="s">
        <v>26</v>
      </c>
      <c r="E129" s="22">
        <v>150</v>
      </c>
      <c r="F129" s="39"/>
      <c r="G129" s="39"/>
      <c r="H129" s="39"/>
      <c r="I129" s="39"/>
      <c r="L129" s="21"/>
      <c r="M129" s="21"/>
      <c r="N129" s="21"/>
    </row>
    <row r="130" spans="1:14" ht="16.5" customHeight="1" x14ac:dyDescent="0.25">
      <c r="A130" s="67" t="s">
        <v>164</v>
      </c>
      <c r="B130" s="64" t="s">
        <v>147</v>
      </c>
      <c r="C130" s="65">
        <v>26452</v>
      </c>
      <c r="D130" s="40" t="s">
        <v>26</v>
      </c>
      <c r="E130" s="22" t="s">
        <v>26</v>
      </c>
      <c r="F130" s="39"/>
      <c r="G130" s="39"/>
      <c r="H130" s="39"/>
      <c r="I130" s="39">
        <f>I131</f>
        <v>0</v>
      </c>
      <c r="L130" s="21"/>
      <c r="M130" s="21"/>
      <c r="N130" s="21"/>
    </row>
    <row r="131" spans="1:14" ht="44.25" customHeight="1" x14ac:dyDescent="0.25">
      <c r="A131" s="67" t="s">
        <v>165</v>
      </c>
      <c r="B131" s="64" t="s">
        <v>166</v>
      </c>
      <c r="C131" s="65">
        <v>26500</v>
      </c>
      <c r="D131" s="40" t="s">
        <v>26</v>
      </c>
      <c r="E131" s="22" t="s">
        <v>26</v>
      </c>
      <c r="F131" s="39">
        <f>F133+F134+F135</f>
        <v>880539.42</v>
      </c>
      <c r="G131" s="39">
        <f>G133+G134+G135</f>
        <v>1318554.3700000001</v>
      </c>
      <c r="H131" s="39">
        <f>H133+H134+H135</f>
        <v>1413754.37</v>
      </c>
      <c r="I131" s="39"/>
      <c r="L131" s="21"/>
      <c r="M131" s="21"/>
      <c r="N131" s="21"/>
    </row>
    <row r="132" spans="1:14" ht="19.5" customHeight="1" x14ac:dyDescent="0.25">
      <c r="A132" s="67"/>
      <c r="B132" s="64" t="s">
        <v>167</v>
      </c>
      <c r="C132" s="65">
        <v>26510</v>
      </c>
      <c r="D132" s="40" t="s">
        <v>26</v>
      </c>
      <c r="E132" s="22" t="s">
        <v>26</v>
      </c>
      <c r="F132" s="39"/>
      <c r="G132" s="39"/>
      <c r="H132" s="39"/>
      <c r="I132" s="39"/>
      <c r="L132" s="21"/>
      <c r="M132" s="21"/>
      <c r="N132" s="21"/>
    </row>
    <row r="133" spans="1:14" ht="17.25" customHeight="1" x14ac:dyDescent="0.25">
      <c r="A133" s="67" t="s">
        <v>168</v>
      </c>
      <c r="B133" s="64" t="s">
        <v>169</v>
      </c>
      <c r="C133" s="65">
        <v>26520</v>
      </c>
      <c r="D133" s="40">
        <v>2023</v>
      </c>
      <c r="E133" s="22"/>
      <c r="F133" s="39">
        <f>F114</f>
        <v>880539.42</v>
      </c>
      <c r="G133" s="39"/>
      <c r="H133" s="39"/>
      <c r="I133" s="39"/>
      <c r="L133" s="21"/>
      <c r="M133" s="21"/>
      <c r="N133" s="21"/>
    </row>
    <row r="134" spans="1:14" ht="14.25" customHeight="1" x14ac:dyDescent="0.25">
      <c r="A134" s="67" t="s">
        <v>170</v>
      </c>
      <c r="B134" s="64" t="s">
        <v>169</v>
      </c>
      <c r="C134" s="65">
        <v>26530</v>
      </c>
      <c r="D134" s="40">
        <v>2024</v>
      </c>
      <c r="E134" s="22"/>
      <c r="F134" s="39"/>
      <c r="G134" s="39">
        <f>G114-G133-G135</f>
        <v>1318554.3700000001</v>
      </c>
      <c r="H134" s="39"/>
      <c r="I134" s="39"/>
      <c r="L134" s="21"/>
      <c r="M134" s="21"/>
      <c r="N134" s="21"/>
    </row>
    <row r="135" spans="1:14" ht="15" customHeight="1" x14ac:dyDescent="0.25">
      <c r="A135" s="67" t="s">
        <v>171</v>
      </c>
      <c r="B135" s="64" t="s">
        <v>169</v>
      </c>
      <c r="C135" s="65">
        <v>26540</v>
      </c>
      <c r="D135" s="40">
        <v>2025</v>
      </c>
      <c r="E135" s="22"/>
      <c r="F135" s="39"/>
      <c r="G135" s="39"/>
      <c r="H135" s="39">
        <f>H114</f>
        <v>1413754.37</v>
      </c>
      <c r="I135" s="39">
        <f>I136+I137</f>
        <v>0</v>
      </c>
      <c r="L135" s="21"/>
      <c r="M135" s="21"/>
      <c r="N135" s="21"/>
    </row>
    <row r="136" spans="1:14" ht="44.25" customHeight="1" x14ac:dyDescent="0.25">
      <c r="A136" s="67" t="s">
        <v>172</v>
      </c>
      <c r="B136" s="64" t="s">
        <v>173</v>
      </c>
      <c r="C136" s="65">
        <v>26600</v>
      </c>
      <c r="D136" s="40" t="s">
        <v>26</v>
      </c>
      <c r="E136" s="22" t="s">
        <v>26</v>
      </c>
      <c r="F136" s="39">
        <f>F137+F138</f>
        <v>0</v>
      </c>
      <c r="G136" s="39">
        <f>G137+G138</f>
        <v>0</v>
      </c>
      <c r="H136" s="39">
        <f>H137+H138</f>
        <v>0</v>
      </c>
      <c r="I136" s="39"/>
      <c r="L136" s="21"/>
      <c r="M136" s="21"/>
      <c r="N136" s="21"/>
    </row>
    <row r="137" spans="1:14" x14ac:dyDescent="0.25">
      <c r="A137" s="67"/>
      <c r="B137" s="64" t="s">
        <v>167</v>
      </c>
      <c r="C137" s="65">
        <v>26610</v>
      </c>
      <c r="D137" s="40"/>
      <c r="E137" s="22"/>
      <c r="F137" s="39"/>
      <c r="G137" s="39"/>
      <c r="H137" s="39"/>
      <c r="I137" s="39"/>
      <c r="L137" s="21"/>
      <c r="M137" s="21"/>
      <c r="N137" s="21"/>
    </row>
    <row r="138" spans="1:14" x14ac:dyDescent="0.25">
      <c r="A138" s="67"/>
      <c r="B138" s="64"/>
      <c r="C138" s="40"/>
      <c r="D138" s="40"/>
      <c r="E138" s="22"/>
      <c r="F138" s="39"/>
      <c r="G138" s="39"/>
      <c r="H138" s="39"/>
      <c r="I138" s="68"/>
      <c r="L138" s="21"/>
      <c r="M138" s="21"/>
      <c r="N138" s="21"/>
    </row>
    <row r="139" spans="1:14" x14ac:dyDescent="0.25">
      <c r="A139" s="69"/>
      <c r="B139" s="70"/>
      <c r="C139" s="71"/>
      <c r="D139" s="71"/>
      <c r="E139" s="71"/>
      <c r="F139" s="71"/>
      <c r="G139" s="71"/>
      <c r="H139" s="71"/>
      <c r="I139" s="19"/>
      <c r="L139" s="21"/>
      <c r="M139" s="21"/>
      <c r="N139" s="21"/>
    </row>
    <row r="140" spans="1:14" ht="18.75" x14ac:dyDescent="0.3">
      <c r="A140" s="72" t="s">
        <v>185</v>
      </c>
      <c r="B140" s="73"/>
      <c r="C140" s="73"/>
      <c r="D140" s="74"/>
      <c r="E140" s="21"/>
      <c r="F140" s="75" t="s">
        <v>186</v>
      </c>
      <c r="G140" s="75"/>
      <c r="H140" s="19"/>
      <c r="I140" s="19"/>
      <c r="L140" s="21"/>
      <c r="M140" s="21"/>
      <c r="N140" s="21"/>
    </row>
    <row r="141" spans="1:14" ht="18.75" x14ac:dyDescent="0.25">
      <c r="A141" s="76"/>
      <c r="B141" s="76"/>
      <c r="C141" s="76"/>
      <c r="D141" s="77" t="s">
        <v>174</v>
      </c>
      <c r="E141" s="19"/>
      <c r="F141" s="78" t="s">
        <v>175</v>
      </c>
      <c r="G141" s="79"/>
      <c r="H141" s="19"/>
      <c r="I141" s="19"/>
      <c r="J141"/>
      <c r="L141" s="21"/>
      <c r="M141" s="21"/>
      <c r="N141" s="21"/>
    </row>
    <row r="142" spans="1:14" ht="18.75" x14ac:dyDescent="0.3">
      <c r="A142" s="72"/>
      <c r="B142" s="73"/>
      <c r="C142" s="73"/>
      <c r="D142" s="74"/>
      <c r="E142" s="21"/>
      <c r="F142" s="75" t="s">
        <v>176</v>
      </c>
      <c r="G142" s="75"/>
      <c r="H142" s="19"/>
      <c r="I142" s="19"/>
      <c r="J142"/>
    </row>
    <row r="143" spans="1:14" ht="18.75" x14ac:dyDescent="0.25">
      <c r="A143" s="76" t="s">
        <v>177</v>
      </c>
      <c r="B143" s="76"/>
      <c r="C143" s="76"/>
      <c r="D143" s="77" t="s">
        <v>174</v>
      </c>
      <c r="E143" s="19"/>
      <c r="F143" s="78" t="s">
        <v>175</v>
      </c>
      <c r="G143" s="79"/>
      <c r="H143" s="19"/>
      <c r="I143" s="19"/>
      <c r="J143"/>
    </row>
    <row r="144" spans="1:14" ht="18.75" x14ac:dyDescent="0.25">
      <c r="A144" s="76"/>
      <c r="B144" s="76"/>
      <c r="C144" s="76"/>
      <c r="D144" s="77"/>
      <c r="E144" s="19"/>
      <c r="F144" s="78"/>
      <c r="G144" s="78"/>
      <c r="H144" s="19"/>
      <c r="I144" s="19"/>
      <c r="J144"/>
    </row>
    <row r="145" spans="1:9" ht="17.25" customHeight="1" x14ac:dyDescent="0.3">
      <c r="A145" s="80" t="s">
        <v>187</v>
      </c>
      <c r="B145" s="80"/>
      <c r="C145" s="80"/>
      <c r="D145" s="80"/>
      <c r="E145" s="81"/>
      <c r="F145" s="81"/>
      <c r="G145" s="73"/>
      <c r="H145" s="73"/>
      <c r="I145" s="73"/>
    </row>
    <row r="146" spans="1:9" ht="18.75" hidden="1" x14ac:dyDescent="0.3">
      <c r="A146" s="120" t="s">
        <v>178</v>
      </c>
      <c r="B146" s="120"/>
      <c r="C146" s="120"/>
      <c r="D146" s="120"/>
      <c r="E146" s="120"/>
      <c r="F146" s="7"/>
      <c r="G146" s="7"/>
      <c r="H146" s="7"/>
      <c r="I146" s="5"/>
    </row>
    <row r="147" spans="1:9" hidden="1" x14ac:dyDescent="0.25">
      <c r="C147" s="5"/>
      <c r="D147" s="5"/>
      <c r="E147" s="5"/>
      <c r="F147" s="5"/>
      <c r="G147" s="5"/>
      <c r="H147" s="5"/>
      <c r="I147" s="5"/>
    </row>
    <row r="148" spans="1:9" hidden="1" x14ac:dyDescent="0.25">
      <c r="C148" s="5"/>
      <c r="D148" s="5"/>
      <c r="E148" s="5"/>
      <c r="F148" s="5"/>
      <c r="G148" s="5"/>
      <c r="H148" s="5"/>
      <c r="I148" s="5"/>
    </row>
    <row r="149" spans="1:9" hidden="1" x14ac:dyDescent="0.25">
      <c r="C149" s="5"/>
      <c r="D149" s="5"/>
      <c r="E149" s="5"/>
      <c r="F149" s="5"/>
      <c r="G149" s="5"/>
      <c r="H149" s="5"/>
      <c r="I149" s="5"/>
    </row>
    <row r="150" spans="1:9" hidden="1" x14ac:dyDescent="0.25">
      <c r="C150" s="5"/>
      <c r="D150" s="5"/>
      <c r="E150" s="5"/>
      <c r="F150" s="5"/>
      <c r="G150" s="5"/>
      <c r="H150" s="5"/>
      <c r="I150" s="5"/>
    </row>
    <row r="151" spans="1:9" hidden="1" x14ac:dyDescent="0.25">
      <c r="C151" s="5"/>
      <c r="D151" s="5"/>
      <c r="E151" s="5"/>
      <c r="F151" s="5"/>
      <c r="G151" s="5"/>
      <c r="H151" s="5"/>
      <c r="I151" s="5"/>
    </row>
    <row r="152" spans="1:9" hidden="1" x14ac:dyDescent="0.25">
      <c r="C152" s="5"/>
      <c r="D152" s="5"/>
      <c r="E152" s="5"/>
      <c r="F152" s="5"/>
      <c r="G152" s="5"/>
      <c r="H152" s="5"/>
      <c r="I152" s="5"/>
    </row>
    <row r="153" spans="1:9" hidden="1" x14ac:dyDescent="0.25">
      <c r="C153" s="5"/>
      <c r="D153" s="5"/>
      <c r="E153" s="5"/>
      <c r="F153" s="5"/>
      <c r="G153" s="5"/>
      <c r="H153" s="5"/>
      <c r="I153" s="5"/>
    </row>
    <row r="154" spans="1:9" hidden="1" x14ac:dyDescent="0.25">
      <c r="C154" s="5"/>
      <c r="D154" s="5"/>
      <c r="E154" s="5"/>
      <c r="F154" s="5"/>
      <c r="G154" s="5"/>
      <c r="H154" s="5"/>
      <c r="I154" s="5"/>
    </row>
    <row r="155" spans="1:9" hidden="1" x14ac:dyDescent="0.25">
      <c r="C155" s="5"/>
      <c r="D155" s="5"/>
      <c r="E155" s="5"/>
      <c r="F155" s="5"/>
      <c r="G155" s="5"/>
      <c r="H155" s="5"/>
      <c r="I155" s="5"/>
    </row>
    <row r="156" spans="1:9" hidden="1" x14ac:dyDescent="0.25">
      <c r="C156" s="5"/>
      <c r="D156" s="5"/>
      <c r="E156" s="5"/>
      <c r="F156" s="5"/>
      <c r="G156" s="5"/>
      <c r="H156" s="5"/>
      <c r="I156" s="5"/>
    </row>
    <row r="157" spans="1:9" hidden="1" x14ac:dyDescent="0.25">
      <c r="C157" s="5"/>
      <c r="D157" s="5"/>
      <c r="E157" s="5"/>
      <c r="F157" s="5"/>
      <c r="G157" s="5"/>
      <c r="H157" s="5"/>
      <c r="I157" s="5"/>
    </row>
    <row r="158" spans="1:9" hidden="1" x14ac:dyDescent="0.25">
      <c r="C158" s="5"/>
      <c r="D158" s="5"/>
      <c r="E158" s="5"/>
      <c r="F158" s="5"/>
      <c r="G158" s="5"/>
      <c r="H158" s="5"/>
      <c r="I158" s="5"/>
    </row>
    <row r="159" spans="1:9" hidden="1" x14ac:dyDescent="0.25">
      <c r="C159" s="5"/>
      <c r="D159" s="5"/>
      <c r="E159" s="5"/>
      <c r="F159" s="5"/>
      <c r="G159" s="5"/>
      <c r="H159" s="5"/>
      <c r="I159" s="5"/>
    </row>
    <row r="160" spans="1:9" hidden="1" x14ac:dyDescent="0.25">
      <c r="C160" s="5"/>
      <c r="D160" s="5"/>
      <c r="E160" s="5"/>
      <c r="F160" s="5"/>
      <c r="G160" s="5"/>
      <c r="H160" s="5"/>
      <c r="I160" s="5"/>
    </row>
    <row r="161" spans="3:8" x14ac:dyDescent="0.25">
      <c r="C161" s="5"/>
      <c r="D161" s="5"/>
      <c r="E161" s="5"/>
      <c r="F161" s="5"/>
      <c r="G161" s="5"/>
      <c r="H161" s="5"/>
    </row>
    <row r="162" spans="3:8" x14ac:dyDescent="0.25">
      <c r="E162" s="5"/>
    </row>
  </sheetData>
  <mergeCells count="101">
    <mergeCell ref="F2:I2"/>
    <mergeCell ref="F4:I4"/>
    <mergeCell ref="B7:I7"/>
    <mergeCell ref="B8:I8"/>
    <mergeCell ref="B10:H10"/>
    <mergeCell ref="B12:F13"/>
    <mergeCell ref="A23:B23"/>
    <mergeCell ref="A24:B24"/>
    <mergeCell ref="A25:B25"/>
    <mergeCell ref="A26:B26"/>
    <mergeCell ref="A27:B27"/>
    <mergeCell ref="A28:B28"/>
    <mergeCell ref="B15:F16"/>
    <mergeCell ref="B19:I19"/>
    <mergeCell ref="A20:B22"/>
    <mergeCell ref="C20:C22"/>
    <mergeCell ref="D20:D22"/>
    <mergeCell ref="E20:E22"/>
    <mergeCell ref="F20:I20"/>
    <mergeCell ref="I21:I22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95:B95"/>
    <mergeCell ref="A96:B96"/>
    <mergeCell ref="A97:B97"/>
    <mergeCell ref="A98:B98"/>
    <mergeCell ref="A99:B99"/>
    <mergeCell ref="A101:H101"/>
    <mergeCell ref="A89:B89"/>
    <mergeCell ref="A90:B90"/>
    <mergeCell ref="A91:B91"/>
    <mergeCell ref="A92:B92"/>
    <mergeCell ref="A93:B93"/>
    <mergeCell ref="A94:B94"/>
    <mergeCell ref="A146:E146"/>
    <mergeCell ref="A103:A105"/>
    <mergeCell ref="B103:B105"/>
    <mergeCell ref="C103:C105"/>
    <mergeCell ref="D103:D105"/>
    <mergeCell ref="E103:E105"/>
    <mergeCell ref="F103:I103"/>
    <mergeCell ref="F104:F105"/>
    <mergeCell ref="I104:I105"/>
  </mergeCells>
  <pageMargins left="0.47244094488188981" right="1.1811023622047245" top="0.59055118110236227" bottom="0.39370078740157483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63"/>
  <sheetViews>
    <sheetView zoomScaleNormal="100" zoomScaleSheetLayoutView="100" workbookViewId="0">
      <selection activeCell="H3" sqref="H3"/>
    </sheetView>
  </sheetViews>
  <sheetFormatPr defaultColWidth="9.140625" defaultRowHeight="15.75" x14ac:dyDescent="0.25"/>
  <cols>
    <col min="1" max="1" width="7.85546875" style="3" customWidth="1"/>
    <col min="2" max="2" width="62.28515625" style="1" customWidth="1"/>
    <col min="3" max="3" width="7" style="1" customWidth="1"/>
    <col min="4" max="4" width="11.42578125" style="1" customWidth="1"/>
    <col min="5" max="5" width="11.28515625" style="1" customWidth="1"/>
    <col min="6" max="8" width="14" style="1" customWidth="1"/>
    <col min="9" max="9" width="11.7109375" style="1" customWidth="1"/>
    <col min="10" max="10" width="14.28515625" style="2" bestFit="1" customWidth="1"/>
    <col min="11" max="12" width="9.140625" style="2"/>
    <col min="13" max="13" width="29.7109375" style="2" customWidth="1"/>
    <col min="14" max="16384" width="9.140625" style="2"/>
  </cols>
  <sheetData>
    <row r="1" spans="1:9" ht="15" customHeight="1" x14ac:dyDescent="0.25">
      <c r="A1" s="18"/>
      <c r="B1" s="19"/>
      <c r="C1" s="19"/>
      <c r="D1" s="19"/>
      <c r="E1" s="19"/>
      <c r="F1" s="19"/>
      <c r="G1" s="19"/>
      <c r="H1" s="19"/>
      <c r="I1" s="101" t="s">
        <v>0</v>
      </c>
    </row>
    <row r="2" spans="1:9" ht="45" customHeight="1" x14ac:dyDescent="0.25">
      <c r="A2" s="18"/>
      <c r="B2" s="19"/>
      <c r="C2" s="19"/>
      <c r="D2" s="19"/>
      <c r="E2" s="19"/>
      <c r="F2" s="166" t="s">
        <v>205</v>
      </c>
      <c r="G2" s="166"/>
      <c r="H2" s="166"/>
      <c r="I2" s="166"/>
    </row>
    <row r="3" spans="1:9" ht="15" customHeight="1" x14ac:dyDescent="0.25">
      <c r="A3" s="18"/>
      <c r="B3" s="19"/>
      <c r="C3" s="19"/>
      <c r="D3" s="19"/>
      <c r="E3" s="19"/>
      <c r="F3" s="102"/>
      <c r="G3" s="102"/>
      <c r="H3" s="102"/>
      <c r="I3" s="102" t="s">
        <v>206</v>
      </c>
    </row>
    <row r="4" spans="1:9" ht="15" customHeight="1" x14ac:dyDescent="0.25">
      <c r="A4" s="18"/>
      <c r="B4" s="19"/>
      <c r="C4" s="19"/>
      <c r="D4" s="19"/>
      <c r="E4" s="19"/>
      <c r="F4" s="19"/>
      <c r="G4" s="19"/>
      <c r="H4" s="19"/>
      <c r="I4" s="101" t="s">
        <v>2</v>
      </c>
    </row>
    <row r="5" spans="1:9" ht="15" customHeight="1" x14ac:dyDescent="0.25">
      <c r="A5" s="18"/>
      <c r="B5" s="19"/>
      <c r="C5" s="19"/>
      <c r="D5" s="19"/>
      <c r="E5" s="19"/>
      <c r="F5" s="167" t="s">
        <v>207</v>
      </c>
      <c r="G5" s="167"/>
      <c r="H5" s="167"/>
      <c r="I5" s="167"/>
    </row>
    <row r="6" spans="1:9" ht="15" customHeight="1" x14ac:dyDescent="0.25">
      <c r="A6" s="18"/>
      <c r="B6" s="19"/>
      <c r="C6" s="19"/>
      <c r="D6" s="19"/>
      <c r="E6" s="19"/>
      <c r="F6" s="19"/>
      <c r="G6" s="19"/>
      <c r="H6" s="19"/>
      <c r="I6" s="101"/>
    </row>
    <row r="7" spans="1:9" ht="15" customHeight="1" x14ac:dyDescent="0.25">
      <c r="A7" s="18"/>
      <c r="B7" s="19"/>
      <c r="C7" s="19"/>
      <c r="D7" s="19"/>
      <c r="E7" s="19"/>
      <c r="F7" s="19"/>
      <c r="G7" s="19"/>
      <c r="H7" s="19"/>
      <c r="I7" s="19"/>
    </row>
    <row r="8" spans="1:9" ht="15" customHeight="1" x14ac:dyDescent="0.3">
      <c r="A8" s="18"/>
      <c r="B8" s="168" t="s">
        <v>197</v>
      </c>
      <c r="C8" s="168"/>
      <c r="D8" s="168"/>
      <c r="E8" s="168"/>
      <c r="F8" s="168"/>
      <c r="G8" s="168"/>
      <c r="H8" s="168"/>
      <c r="I8" s="168"/>
    </row>
    <row r="9" spans="1:9" ht="15" customHeight="1" x14ac:dyDescent="0.3">
      <c r="A9" s="18"/>
      <c r="B9" s="168" t="s">
        <v>192</v>
      </c>
      <c r="C9" s="168"/>
      <c r="D9" s="168"/>
      <c r="E9" s="168"/>
      <c r="F9" s="168"/>
      <c r="G9" s="168"/>
      <c r="H9" s="168"/>
      <c r="I9" s="168"/>
    </row>
    <row r="10" spans="1:9" ht="15" customHeight="1" x14ac:dyDescent="0.25">
      <c r="A10" s="18"/>
      <c r="B10" s="19"/>
      <c r="C10" s="19"/>
      <c r="D10" s="19"/>
      <c r="E10" s="19"/>
      <c r="F10" s="19"/>
      <c r="G10" s="19"/>
      <c r="H10" s="19"/>
      <c r="I10" s="21"/>
    </row>
    <row r="11" spans="1:9" ht="15" customHeight="1" x14ac:dyDescent="0.25">
      <c r="A11" s="18"/>
      <c r="B11" s="169" t="s">
        <v>208</v>
      </c>
      <c r="C11" s="169"/>
      <c r="D11" s="169"/>
      <c r="E11" s="169"/>
      <c r="F11" s="169"/>
      <c r="G11" s="169"/>
      <c r="H11" s="169"/>
      <c r="I11" s="22" t="s">
        <v>4</v>
      </c>
    </row>
    <row r="12" spans="1:9" ht="15" customHeight="1" x14ac:dyDescent="0.25">
      <c r="A12" s="18"/>
      <c r="B12" s="19"/>
      <c r="C12" s="19"/>
      <c r="D12" s="19"/>
      <c r="E12" s="19"/>
      <c r="F12" s="19"/>
      <c r="G12" s="19"/>
      <c r="H12" s="23" t="s">
        <v>5</v>
      </c>
      <c r="I12" s="24">
        <v>45148</v>
      </c>
    </row>
    <row r="13" spans="1:9" ht="15" customHeight="1" x14ac:dyDescent="0.25">
      <c r="A13" s="18"/>
      <c r="B13" s="154" t="s">
        <v>6</v>
      </c>
      <c r="C13" s="154"/>
      <c r="D13" s="154"/>
      <c r="E13" s="154"/>
      <c r="F13" s="154"/>
      <c r="G13" s="19"/>
      <c r="H13" s="23" t="s">
        <v>7</v>
      </c>
      <c r="I13" s="22"/>
    </row>
    <row r="14" spans="1:9" ht="15" customHeight="1" x14ac:dyDescent="0.25">
      <c r="A14" s="18"/>
      <c r="B14" s="154"/>
      <c r="C14" s="154"/>
      <c r="D14" s="154"/>
      <c r="E14" s="154"/>
      <c r="F14" s="154"/>
      <c r="G14" s="25"/>
      <c r="H14" s="26" t="s">
        <v>8</v>
      </c>
      <c r="I14" s="27">
        <v>925</v>
      </c>
    </row>
    <row r="15" spans="1:9" ht="15" customHeight="1" x14ac:dyDescent="0.25">
      <c r="A15" s="18"/>
      <c r="B15" s="19"/>
      <c r="C15" s="19"/>
      <c r="D15" s="19"/>
      <c r="E15" s="19"/>
      <c r="F15" s="19"/>
      <c r="G15" s="19"/>
      <c r="H15" s="23" t="s">
        <v>7</v>
      </c>
      <c r="I15" s="22"/>
    </row>
    <row r="16" spans="1:9" ht="15" customHeight="1" x14ac:dyDescent="0.25">
      <c r="A16" s="18"/>
      <c r="B16" s="154" t="s">
        <v>184</v>
      </c>
      <c r="C16" s="154"/>
      <c r="D16" s="154"/>
      <c r="E16" s="154"/>
      <c r="F16" s="154"/>
      <c r="G16" s="25"/>
      <c r="H16" s="23" t="s">
        <v>9</v>
      </c>
      <c r="I16" s="22">
        <v>2329020879</v>
      </c>
    </row>
    <row r="17" spans="1:9" ht="15" customHeight="1" x14ac:dyDescent="0.25">
      <c r="A17" s="18"/>
      <c r="B17" s="154"/>
      <c r="C17" s="154"/>
      <c r="D17" s="154"/>
      <c r="E17" s="154"/>
      <c r="F17" s="154"/>
      <c r="G17" s="19"/>
      <c r="H17" s="23" t="s">
        <v>10</v>
      </c>
      <c r="I17" s="22">
        <v>232901001</v>
      </c>
    </row>
    <row r="18" spans="1:9" ht="15" customHeight="1" x14ac:dyDescent="0.25">
      <c r="A18" s="18"/>
      <c r="B18" s="19" t="s">
        <v>11</v>
      </c>
      <c r="C18" s="19"/>
      <c r="D18" s="19"/>
      <c r="E18" s="19"/>
      <c r="F18" s="19"/>
      <c r="G18" s="19"/>
      <c r="H18" s="23" t="s">
        <v>12</v>
      </c>
      <c r="I18" s="22">
        <v>383</v>
      </c>
    </row>
    <row r="19" spans="1:9" ht="15" customHeight="1" x14ac:dyDescent="0.25">
      <c r="A19" s="18"/>
      <c r="B19" s="19"/>
      <c r="C19" s="19"/>
      <c r="D19" s="19"/>
      <c r="E19" s="19"/>
      <c r="F19" s="19"/>
      <c r="G19" s="19"/>
      <c r="H19" s="23"/>
      <c r="I19" s="28"/>
    </row>
    <row r="20" spans="1:9" ht="15" customHeight="1" x14ac:dyDescent="0.25">
      <c r="A20" s="18"/>
      <c r="B20" s="155" t="s">
        <v>13</v>
      </c>
      <c r="C20" s="155"/>
      <c r="D20" s="155"/>
      <c r="E20" s="155"/>
      <c r="F20" s="155"/>
      <c r="G20" s="155"/>
      <c r="H20" s="155"/>
      <c r="I20" s="155"/>
    </row>
    <row r="21" spans="1:9" s="4" customFormat="1" ht="13.5" customHeight="1" x14ac:dyDescent="0.25">
      <c r="A21" s="156" t="s">
        <v>14</v>
      </c>
      <c r="B21" s="157"/>
      <c r="C21" s="130" t="s">
        <v>15</v>
      </c>
      <c r="D21" s="130" t="s">
        <v>16</v>
      </c>
      <c r="E21" s="130" t="s">
        <v>17</v>
      </c>
      <c r="F21" s="163" t="s">
        <v>18</v>
      </c>
      <c r="G21" s="164"/>
      <c r="H21" s="164"/>
      <c r="I21" s="165"/>
    </row>
    <row r="22" spans="1:9" s="4" customFormat="1" ht="15" customHeight="1" x14ac:dyDescent="0.25">
      <c r="A22" s="158"/>
      <c r="B22" s="159"/>
      <c r="C22" s="162"/>
      <c r="D22" s="162"/>
      <c r="E22" s="162"/>
      <c r="F22" s="100" t="s">
        <v>19</v>
      </c>
      <c r="G22" s="100" t="s">
        <v>179</v>
      </c>
      <c r="H22" s="100" t="s">
        <v>193</v>
      </c>
      <c r="I22" s="130" t="s">
        <v>20</v>
      </c>
    </row>
    <row r="23" spans="1:9" s="4" customFormat="1" ht="60" customHeight="1" x14ac:dyDescent="0.25">
      <c r="A23" s="160"/>
      <c r="B23" s="161"/>
      <c r="C23" s="131"/>
      <c r="D23" s="131"/>
      <c r="E23" s="131"/>
      <c r="F23" s="100" t="s">
        <v>21</v>
      </c>
      <c r="G23" s="100" t="s">
        <v>22</v>
      </c>
      <c r="H23" s="100" t="s">
        <v>23</v>
      </c>
      <c r="I23" s="131"/>
    </row>
    <row r="24" spans="1:9" s="4" customFormat="1" ht="12.75" customHeight="1" x14ac:dyDescent="0.25">
      <c r="A24" s="153">
        <v>1</v>
      </c>
      <c r="B24" s="153"/>
      <c r="C24" s="99">
        <v>2</v>
      </c>
      <c r="D24" s="99">
        <v>3</v>
      </c>
      <c r="E24" s="99">
        <v>4</v>
      </c>
      <c r="F24" s="100">
        <v>5</v>
      </c>
      <c r="G24" s="100">
        <v>6</v>
      </c>
      <c r="H24" s="100">
        <v>7</v>
      </c>
      <c r="I24" s="99">
        <v>8</v>
      </c>
    </row>
    <row r="25" spans="1:9" s="4" customFormat="1" ht="15" customHeight="1" x14ac:dyDescent="0.25">
      <c r="A25" s="148" t="s">
        <v>24</v>
      </c>
      <c r="B25" s="148"/>
      <c r="C25" s="32" t="s">
        <v>25</v>
      </c>
      <c r="D25" s="32" t="s">
        <v>26</v>
      </c>
      <c r="E25" s="100" t="s">
        <v>26</v>
      </c>
      <c r="F25" s="89">
        <f>180978.76+5255.14</f>
        <v>186233.90000000002</v>
      </c>
      <c r="G25" s="33">
        <v>0</v>
      </c>
      <c r="H25" s="33">
        <v>0</v>
      </c>
      <c r="I25" s="33">
        <v>0</v>
      </c>
    </row>
    <row r="26" spans="1:9" s="4" customFormat="1" ht="15" customHeight="1" x14ac:dyDescent="0.25">
      <c r="A26" s="148" t="s">
        <v>27</v>
      </c>
      <c r="B26" s="148"/>
      <c r="C26" s="32" t="s">
        <v>28</v>
      </c>
      <c r="D26" s="32" t="s">
        <v>26</v>
      </c>
      <c r="E26" s="100" t="s">
        <v>26</v>
      </c>
      <c r="F26" s="33">
        <f>F27+F25-F48-F99+F95</f>
        <v>3.7834979593753815E-10</v>
      </c>
      <c r="G26" s="33">
        <f>G27+G25-G48-G99+G95</f>
        <v>0</v>
      </c>
      <c r="H26" s="33">
        <f>H27+H25-H48-H99+H95</f>
        <v>9.3132257461547852E-10</v>
      </c>
      <c r="I26" s="33">
        <v>0</v>
      </c>
    </row>
    <row r="27" spans="1:9" s="4" customFormat="1" ht="15" customHeight="1" x14ac:dyDescent="0.2">
      <c r="A27" s="145" t="s">
        <v>29</v>
      </c>
      <c r="B27" s="145"/>
      <c r="C27" s="34" t="s">
        <v>30</v>
      </c>
      <c r="D27" s="35"/>
      <c r="E27" s="36">
        <v>100</v>
      </c>
      <c r="F27" s="37">
        <f>F28+F29+F33+F34+F45+F46+F42</f>
        <v>4543165.41</v>
      </c>
      <c r="G27" s="37">
        <f>G28+G29+G33+G34+G45+G46+G42</f>
        <v>4544323.7700000005</v>
      </c>
      <c r="H27" s="37">
        <f>H28+H29+H33+H45+H46+H42</f>
        <v>4639523.7700000005</v>
      </c>
      <c r="I27" s="37">
        <f>I28+I29+I33+I34+I44+I45</f>
        <v>0</v>
      </c>
    </row>
    <row r="28" spans="1:9" s="4" customFormat="1" ht="26.25" customHeight="1" x14ac:dyDescent="0.25">
      <c r="A28" s="148" t="s">
        <v>31</v>
      </c>
      <c r="B28" s="148"/>
      <c r="C28" s="38" t="s">
        <v>32</v>
      </c>
      <c r="D28" s="32" t="s">
        <v>33</v>
      </c>
      <c r="E28" s="100"/>
      <c r="F28" s="33"/>
      <c r="G28" s="33"/>
      <c r="H28" s="33"/>
      <c r="I28" s="33"/>
    </row>
    <row r="29" spans="1:9" s="4" customFormat="1" ht="15" customHeight="1" x14ac:dyDescent="0.25">
      <c r="A29" s="148" t="s">
        <v>34</v>
      </c>
      <c r="B29" s="148"/>
      <c r="C29" s="32" t="s">
        <v>35</v>
      </c>
      <c r="D29" s="32" t="s">
        <v>36</v>
      </c>
      <c r="E29" s="100">
        <v>131</v>
      </c>
      <c r="F29" s="33">
        <f>F30+F32+F43+F45</f>
        <v>4121965.41</v>
      </c>
      <c r="G29" s="33">
        <f>G30+G32+G43+G45</f>
        <v>4051223.7700000005</v>
      </c>
      <c r="H29" s="33">
        <f>H30+H32+H43+H45+H35</f>
        <v>4639523.7700000005</v>
      </c>
      <c r="I29" s="33">
        <f t="shared" ref="I29" si="0">SUM(I30:I32)</f>
        <v>0</v>
      </c>
    </row>
    <row r="30" spans="1:9" s="4" customFormat="1" ht="61.5" customHeight="1" x14ac:dyDescent="0.25">
      <c r="A30" s="148" t="s">
        <v>37</v>
      </c>
      <c r="B30" s="148"/>
      <c r="C30" s="32" t="s">
        <v>38</v>
      </c>
      <c r="D30" s="32" t="s">
        <v>36</v>
      </c>
      <c r="E30" s="100"/>
      <c r="F30" s="89">
        <f>2184433.1+1521494.77+172500+160796.99+13677+11750.71-172500+30500+15511.34+10000</f>
        <v>3948163.91</v>
      </c>
      <c r="G30" s="89">
        <f>3927840.37-170362.5+111449.66+11933.74</f>
        <v>3880861.2700000005</v>
      </c>
      <c r="H30" s="89">
        <f>3969440.37-170362.5+111449.66+11933.74</f>
        <v>3922461.2700000005</v>
      </c>
      <c r="I30" s="33"/>
    </row>
    <row r="31" spans="1:9" s="4" customFormat="1" ht="48" customHeight="1" x14ac:dyDescent="0.25">
      <c r="A31" s="148" t="s">
        <v>39</v>
      </c>
      <c r="B31" s="148"/>
      <c r="C31" s="32" t="s">
        <v>40</v>
      </c>
      <c r="D31" s="32" t="s">
        <v>36</v>
      </c>
      <c r="E31" s="100"/>
      <c r="F31" s="33"/>
      <c r="G31" s="33"/>
      <c r="H31" s="33"/>
      <c r="I31" s="33"/>
    </row>
    <row r="32" spans="1:9" s="4" customFormat="1" ht="47.25" customHeight="1" x14ac:dyDescent="0.25">
      <c r="A32" s="148" t="s">
        <v>41</v>
      </c>
      <c r="B32" s="148"/>
      <c r="C32" s="32" t="s">
        <v>42</v>
      </c>
      <c r="D32" s="32" t="s">
        <v>36</v>
      </c>
      <c r="E32" s="100"/>
      <c r="F32" s="89">
        <f>170362.5+1013+1506+920</f>
        <v>173801.5</v>
      </c>
      <c r="G32" s="89">
        <v>170362.5</v>
      </c>
      <c r="H32" s="89">
        <v>170362.5</v>
      </c>
      <c r="I32" s="33"/>
    </row>
    <row r="33" spans="1:9" s="4" customFormat="1" ht="15" customHeight="1" x14ac:dyDescent="0.25">
      <c r="A33" s="148" t="s">
        <v>43</v>
      </c>
      <c r="B33" s="148"/>
      <c r="C33" s="32" t="s">
        <v>44</v>
      </c>
      <c r="D33" s="32" t="s">
        <v>45</v>
      </c>
      <c r="E33" s="100"/>
      <c r="F33" s="33"/>
      <c r="G33" s="33"/>
      <c r="H33" s="33"/>
      <c r="I33" s="33"/>
    </row>
    <row r="34" spans="1:9" s="4" customFormat="1" ht="15" customHeight="1" x14ac:dyDescent="0.25">
      <c r="A34" s="148" t="s">
        <v>46</v>
      </c>
      <c r="B34" s="148"/>
      <c r="C34" s="32" t="s">
        <v>47</v>
      </c>
      <c r="D34" s="32" t="s">
        <v>48</v>
      </c>
      <c r="E34" s="100"/>
      <c r="F34" s="33">
        <f>F35</f>
        <v>421200</v>
      </c>
      <c r="G34" s="33">
        <f>G35</f>
        <v>493100</v>
      </c>
      <c r="H34" s="33">
        <f>H35</f>
        <v>546700</v>
      </c>
      <c r="I34" s="33"/>
    </row>
    <row r="35" spans="1:9" s="4" customFormat="1" ht="15" customHeight="1" x14ac:dyDescent="0.25">
      <c r="A35" s="148" t="s">
        <v>49</v>
      </c>
      <c r="B35" s="148"/>
      <c r="C35" s="32" t="s">
        <v>50</v>
      </c>
      <c r="D35" s="32" t="s">
        <v>48</v>
      </c>
      <c r="E35" s="100"/>
      <c r="F35" s="33">
        <f>SUM(F36:F40)</f>
        <v>421200</v>
      </c>
      <c r="G35" s="33">
        <f>SUM(G36:G40)</f>
        <v>493100</v>
      </c>
      <c r="H35" s="33">
        <f>SUM(H36:H40)</f>
        <v>546700</v>
      </c>
      <c r="I35" s="33"/>
    </row>
    <row r="36" spans="1:9" s="4" customFormat="1" ht="27" customHeight="1" x14ac:dyDescent="0.25">
      <c r="A36" s="149" t="s">
        <v>195</v>
      </c>
      <c r="B36" s="150"/>
      <c r="C36" s="32"/>
      <c r="D36" s="32"/>
      <c r="E36" s="100"/>
      <c r="F36" s="89">
        <f>246900-10000</f>
        <v>236900</v>
      </c>
      <c r="G36" s="89">
        <v>236900</v>
      </c>
      <c r="H36" s="89">
        <v>236900</v>
      </c>
      <c r="I36" s="33"/>
    </row>
    <row r="37" spans="1:9" s="4" customFormat="1" ht="26.25" customHeight="1" x14ac:dyDescent="0.25">
      <c r="A37" s="151" t="s">
        <v>196</v>
      </c>
      <c r="B37" s="152"/>
      <c r="C37" s="32"/>
      <c r="D37" s="32"/>
      <c r="E37" s="100"/>
      <c r="F37" s="89">
        <v>0</v>
      </c>
      <c r="G37" s="89">
        <v>10000</v>
      </c>
      <c r="H37" s="89">
        <v>10000</v>
      </c>
      <c r="I37" s="33"/>
    </row>
    <row r="38" spans="1:9" s="4" customFormat="1" ht="35.25" customHeight="1" x14ac:dyDescent="0.25">
      <c r="A38" s="148" t="s">
        <v>183</v>
      </c>
      <c r="B38" s="148"/>
      <c r="C38" s="32"/>
      <c r="D38" s="32"/>
      <c r="E38" s="100"/>
      <c r="F38" s="89">
        <f>23700+17300</f>
        <v>41000</v>
      </c>
      <c r="G38" s="89">
        <v>23700</v>
      </c>
      <c r="H38" s="89">
        <v>23700</v>
      </c>
      <c r="I38" s="33"/>
    </row>
    <row r="39" spans="1:9" s="4" customFormat="1" ht="39" customHeight="1" x14ac:dyDescent="0.25">
      <c r="A39" s="148" t="s">
        <v>180</v>
      </c>
      <c r="B39" s="148"/>
      <c r="C39" s="32"/>
      <c r="D39" s="32"/>
      <c r="E39" s="100"/>
      <c r="F39" s="89">
        <v>70700</v>
      </c>
      <c r="G39" s="89">
        <v>70700</v>
      </c>
      <c r="H39" s="89">
        <v>70700</v>
      </c>
      <c r="I39" s="33"/>
    </row>
    <row r="40" spans="1:9" s="4" customFormat="1" ht="42" customHeight="1" x14ac:dyDescent="0.25">
      <c r="A40" s="148" t="s">
        <v>181</v>
      </c>
      <c r="B40" s="148"/>
      <c r="C40" s="32"/>
      <c r="D40" s="32"/>
      <c r="E40" s="100"/>
      <c r="F40" s="89">
        <f>32300+32300+8000</f>
        <v>72600</v>
      </c>
      <c r="G40" s="89">
        <v>151800</v>
      </c>
      <c r="H40" s="89">
        <v>205400</v>
      </c>
      <c r="I40" s="33"/>
    </row>
    <row r="41" spans="1:9" s="4" customFormat="1" ht="19.5" customHeight="1" x14ac:dyDescent="0.25">
      <c r="A41" s="148" t="s">
        <v>51</v>
      </c>
      <c r="B41" s="148"/>
      <c r="C41" s="32" t="s">
        <v>52</v>
      </c>
      <c r="D41" s="32" t="s">
        <v>48</v>
      </c>
      <c r="E41" s="100"/>
      <c r="F41" s="33"/>
      <c r="G41" s="33"/>
      <c r="H41" s="33"/>
      <c r="I41" s="33"/>
    </row>
    <row r="42" spans="1:9" s="4" customFormat="1" ht="43.5" customHeight="1" x14ac:dyDescent="0.25">
      <c r="A42" s="146" t="s">
        <v>53</v>
      </c>
      <c r="B42" s="147"/>
      <c r="C42" s="32" t="s">
        <v>54</v>
      </c>
      <c r="D42" s="32" t="s">
        <v>48</v>
      </c>
      <c r="E42" s="100"/>
      <c r="F42" s="33"/>
      <c r="G42" s="33"/>
      <c r="H42" s="33"/>
      <c r="I42" s="33"/>
    </row>
    <row r="43" spans="1:9" s="4" customFormat="1" ht="15" customHeight="1" x14ac:dyDescent="0.25">
      <c r="A43" s="148" t="s">
        <v>55</v>
      </c>
      <c r="B43" s="148"/>
      <c r="C43" s="32" t="s">
        <v>56</v>
      </c>
      <c r="D43" s="32" t="s">
        <v>57</v>
      </c>
      <c r="E43" s="100"/>
      <c r="F43" s="33"/>
      <c r="G43" s="33"/>
      <c r="H43" s="33"/>
      <c r="I43" s="33"/>
    </row>
    <row r="44" spans="1:9" s="4" customFormat="1" ht="15" customHeight="1" x14ac:dyDescent="0.25">
      <c r="A44" s="146" t="s">
        <v>58</v>
      </c>
      <c r="B44" s="147"/>
      <c r="C44" s="32"/>
      <c r="D44" s="32"/>
      <c r="E44" s="100"/>
      <c r="F44" s="33"/>
      <c r="G44" s="33"/>
      <c r="H44" s="33"/>
      <c r="I44" s="33"/>
    </row>
    <row r="45" spans="1:9" s="4" customFormat="1" ht="15" customHeight="1" x14ac:dyDescent="0.25">
      <c r="A45" s="148" t="s">
        <v>59</v>
      </c>
      <c r="B45" s="148"/>
      <c r="C45" s="32" t="s">
        <v>60</v>
      </c>
      <c r="D45" s="32" t="s">
        <v>61</v>
      </c>
      <c r="E45" s="100"/>
      <c r="F45" s="33"/>
      <c r="G45" s="33"/>
      <c r="H45" s="33"/>
      <c r="I45" s="33"/>
    </row>
    <row r="46" spans="1:9" s="4" customFormat="1" ht="17.25" customHeight="1" x14ac:dyDescent="0.25">
      <c r="A46" s="148" t="s">
        <v>62</v>
      </c>
      <c r="B46" s="148"/>
      <c r="C46" s="32" t="s">
        <v>63</v>
      </c>
      <c r="D46" s="32" t="s">
        <v>26</v>
      </c>
      <c r="E46" s="100"/>
      <c r="F46" s="33"/>
      <c r="G46" s="33"/>
      <c r="H46" s="33"/>
      <c r="I46" s="33" t="s">
        <v>26</v>
      </c>
    </row>
    <row r="47" spans="1:9" s="4" customFormat="1" ht="42" customHeight="1" x14ac:dyDescent="0.25">
      <c r="A47" s="148" t="s">
        <v>64</v>
      </c>
      <c r="B47" s="148"/>
      <c r="C47" s="32" t="s">
        <v>65</v>
      </c>
      <c r="D47" s="32" t="s">
        <v>66</v>
      </c>
      <c r="E47" s="100"/>
      <c r="F47" s="33"/>
      <c r="G47" s="33"/>
      <c r="H47" s="33"/>
      <c r="I47" s="37"/>
    </row>
    <row r="48" spans="1:9" s="4" customFormat="1" ht="30" customHeight="1" x14ac:dyDescent="0.25">
      <c r="A48" s="145" t="s">
        <v>67</v>
      </c>
      <c r="B48" s="145"/>
      <c r="C48" s="35" t="s">
        <v>68</v>
      </c>
      <c r="D48" s="35" t="s">
        <v>26</v>
      </c>
      <c r="E48" s="36">
        <v>200</v>
      </c>
      <c r="F48" s="37">
        <f>F49+F59+F66+F70+F77+F79</f>
        <v>4551603.91</v>
      </c>
      <c r="G48" s="37">
        <f>G49+G59+G66+G70+G77+G79</f>
        <v>4544323.7700000005</v>
      </c>
      <c r="H48" s="37">
        <f>H49+H59+H66+H70+H77+H79</f>
        <v>4639523.7699999996</v>
      </c>
      <c r="I48" s="39" t="s">
        <v>26</v>
      </c>
    </row>
    <row r="49" spans="1:9" s="4" customFormat="1" ht="25.5" customHeight="1" x14ac:dyDescent="0.25">
      <c r="A49" s="143" t="s">
        <v>69</v>
      </c>
      <c r="B49" s="143"/>
      <c r="C49" s="40">
        <v>2100</v>
      </c>
      <c r="D49" s="35" t="s">
        <v>26</v>
      </c>
      <c r="E49" s="40">
        <v>210</v>
      </c>
      <c r="F49" s="39">
        <f>F50+F51+F52+F53+F54+F55+F56</f>
        <v>3241673.7</v>
      </c>
      <c r="G49" s="39">
        <f>G50+G51+G52+G53+G54+G55+G56</f>
        <v>3193009.4000000004</v>
      </c>
      <c r="H49" s="39">
        <f>H50+H51+H52+H53+H54+H55+H56</f>
        <v>3193009.4</v>
      </c>
      <c r="I49" s="39" t="s">
        <v>26</v>
      </c>
    </row>
    <row r="50" spans="1:9" s="4" customFormat="1" ht="30" customHeight="1" x14ac:dyDescent="0.25">
      <c r="A50" s="144" t="s">
        <v>70</v>
      </c>
      <c r="B50" s="144"/>
      <c r="C50" s="40">
        <v>2110</v>
      </c>
      <c r="D50" s="40">
        <v>111</v>
      </c>
      <c r="E50" s="40">
        <v>211</v>
      </c>
      <c r="F50" s="90">
        <f>1023246+1152426.81+84754.22+97196.62-603.62+785.91-384.02+1159.75+123499.99+9025.12+2319.51</f>
        <v>2493426.2900000005</v>
      </c>
      <c r="G50" s="90">
        <f>1023246+1152426.81+84754.22+97196.62+85598.82+9165.7</f>
        <v>2452388.1700000004</v>
      </c>
      <c r="H50" s="90">
        <f>2357623.65+85598.82+9165.7</f>
        <v>2452388.17</v>
      </c>
      <c r="I50" s="39" t="s">
        <v>26</v>
      </c>
    </row>
    <row r="51" spans="1:9" s="4" customFormat="1" ht="23.25" customHeight="1" x14ac:dyDescent="0.25">
      <c r="A51" s="144" t="s">
        <v>71</v>
      </c>
      <c r="B51" s="144"/>
      <c r="C51" s="40">
        <v>2120</v>
      </c>
      <c r="D51" s="40">
        <v>112</v>
      </c>
      <c r="E51" s="40">
        <v>266</v>
      </c>
      <c r="F51" s="39"/>
      <c r="G51" s="39"/>
      <c r="H51" s="39"/>
      <c r="I51" s="39" t="s">
        <v>26</v>
      </c>
    </row>
    <row r="52" spans="1:9" s="4" customFormat="1" ht="31.5" customHeight="1" x14ac:dyDescent="0.25">
      <c r="A52" s="144" t="s">
        <v>72</v>
      </c>
      <c r="B52" s="144"/>
      <c r="C52" s="40">
        <v>2130</v>
      </c>
      <c r="D52" s="40">
        <v>113</v>
      </c>
      <c r="E52" s="40">
        <v>226</v>
      </c>
      <c r="F52" s="39"/>
      <c r="G52" s="39"/>
      <c r="H52" s="39"/>
      <c r="I52" s="39" t="s">
        <v>26</v>
      </c>
    </row>
    <row r="53" spans="1:9" s="4" customFormat="1" ht="34.5" customHeight="1" x14ac:dyDescent="0.25">
      <c r="A53" s="144" t="s">
        <v>73</v>
      </c>
      <c r="B53" s="144"/>
      <c r="C53" s="40">
        <v>2140</v>
      </c>
      <c r="D53" s="40">
        <v>119</v>
      </c>
      <c r="E53" s="40">
        <v>213</v>
      </c>
      <c r="F53" s="90">
        <f>309020.29+348032.9+25595.78+29353.38-182.29-115.98-1159.75+37297+2725.59-2319.51</f>
        <v>748247.40999999992</v>
      </c>
      <c r="G53" s="90">
        <f>25595.78+29353.38+309020.29+348032.9+25850.84+2768.04</f>
        <v>740621.23</v>
      </c>
      <c r="H53" s="90">
        <f>712002.35+25850.84+2768.04</f>
        <v>740621.23</v>
      </c>
      <c r="I53" s="39" t="s">
        <v>26</v>
      </c>
    </row>
    <row r="54" spans="1:9" s="4" customFormat="1" ht="29.25" customHeight="1" x14ac:dyDescent="0.25">
      <c r="A54" s="144" t="s">
        <v>74</v>
      </c>
      <c r="B54" s="144"/>
      <c r="C54" s="40">
        <v>2150</v>
      </c>
      <c r="D54" s="40">
        <v>131</v>
      </c>
      <c r="E54" s="40"/>
      <c r="F54" s="39"/>
      <c r="G54" s="39"/>
      <c r="H54" s="39"/>
      <c r="I54" s="39" t="s">
        <v>26</v>
      </c>
    </row>
    <row r="55" spans="1:9" s="4" customFormat="1" ht="29.25" customHeight="1" x14ac:dyDescent="0.25">
      <c r="A55" s="144" t="s">
        <v>75</v>
      </c>
      <c r="B55" s="144"/>
      <c r="C55" s="40">
        <v>2170</v>
      </c>
      <c r="D55" s="40">
        <v>134</v>
      </c>
      <c r="E55" s="40"/>
      <c r="F55" s="39"/>
      <c r="G55" s="39"/>
      <c r="H55" s="39"/>
      <c r="I55" s="39" t="s">
        <v>26</v>
      </c>
    </row>
    <row r="56" spans="1:9" s="4" customFormat="1" ht="32.25" customHeight="1" x14ac:dyDescent="0.25">
      <c r="A56" s="144" t="s">
        <v>76</v>
      </c>
      <c r="B56" s="144"/>
      <c r="C56" s="40">
        <v>2180</v>
      </c>
      <c r="D56" s="40">
        <v>139</v>
      </c>
      <c r="E56" s="40"/>
      <c r="F56" s="39">
        <f>F57+F58</f>
        <v>0</v>
      </c>
      <c r="G56" s="39">
        <f t="shared" ref="G56:H56" si="1">G57+G58</f>
        <v>0</v>
      </c>
      <c r="H56" s="39">
        <f t="shared" si="1"/>
        <v>0</v>
      </c>
      <c r="I56" s="39" t="s">
        <v>26</v>
      </c>
    </row>
    <row r="57" spans="1:9" s="4" customFormat="1" ht="30" customHeight="1" x14ac:dyDescent="0.25">
      <c r="A57" s="143" t="s">
        <v>77</v>
      </c>
      <c r="B57" s="143"/>
      <c r="C57" s="40">
        <v>2181</v>
      </c>
      <c r="D57" s="40">
        <v>139</v>
      </c>
      <c r="E57" s="40"/>
      <c r="F57" s="39"/>
      <c r="G57" s="39"/>
      <c r="H57" s="39"/>
      <c r="I57" s="39" t="s">
        <v>26</v>
      </c>
    </row>
    <row r="58" spans="1:9" s="4" customFormat="1" ht="16.5" customHeight="1" x14ac:dyDescent="0.25">
      <c r="A58" s="143" t="s">
        <v>78</v>
      </c>
      <c r="B58" s="143"/>
      <c r="C58" s="40">
        <v>2172</v>
      </c>
      <c r="D58" s="40">
        <v>139</v>
      </c>
      <c r="E58" s="40"/>
      <c r="F58" s="39"/>
      <c r="G58" s="39"/>
      <c r="H58" s="39"/>
      <c r="I58" s="39" t="s">
        <v>26</v>
      </c>
    </row>
    <row r="59" spans="1:9" s="4" customFormat="1" ht="17.25" customHeight="1" x14ac:dyDescent="0.25">
      <c r="A59" s="143" t="s">
        <v>79</v>
      </c>
      <c r="B59" s="143"/>
      <c r="C59" s="40">
        <v>2200</v>
      </c>
      <c r="D59" s="40">
        <v>300</v>
      </c>
      <c r="E59" s="40"/>
      <c r="F59" s="39">
        <f>F60+F63+F64+F65</f>
        <v>41000</v>
      </c>
      <c r="G59" s="39">
        <f>G60+G63+G64+G65</f>
        <v>23700</v>
      </c>
      <c r="H59" s="39">
        <f>H60+H63+H64+H65</f>
        <v>23700</v>
      </c>
      <c r="I59" s="39" t="s">
        <v>26</v>
      </c>
    </row>
    <row r="60" spans="1:9" s="4" customFormat="1" ht="45" customHeight="1" x14ac:dyDescent="0.25">
      <c r="A60" s="143" t="s">
        <v>80</v>
      </c>
      <c r="B60" s="143"/>
      <c r="C60" s="40">
        <v>2210</v>
      </c>
      <c r="D60" s="40">
        <v>320</v>
      </c>
      <c r="E60" s="40"/>
      <c r="F60" s="39">
        <f>SUM(F61:F62)</f>
        <v>41000</v>
      </c>
      <c r="G60" s="39">
        <f t="shared" ref="G60:H60" si="2">SUM(G61:G62)</f>
        <v>23700</v>
      </c>
      <c r="H60" s="39">
        <f t="shared" si="2"/>
        <v>23700</v>
      </c>
      <c r="I60" s="39" t="s">
        <v>26</v>
      </c>
    </row>
    <row r="61" spans="1:9" s="4" customFormat="1" ht="43.5" customHeight="1" x14ac:dyDescent="0.25">
      <c r="A61" s="143" t="s">
        <v>81</v>
      </c>
      <c r="B61" s="143"/>
      <c r="C61" s="40">
        <v>2211</v>
      </c>
      <c r="D61" s="40">
        <v>321</v>
      </c>
      <c r="E61" s="40">
        <v>267</v>
      </c>
      <c r="F61" s="90">
        <f>23700+17300</f>
        <v>41000</v>
      </c>
      <c r="G61" s="90">
        <v>23700</v>
      </c>
      <c r="H61" s="90">
        <v>23700</v>
      </c>
      <c r="I61" s="39"/>
    </row>
    <row r="62" spans="1:9" s="4" customFormat="1" ht="30.75" customHeight="1" x14ac:dyDescent="0.25">
      <c r="A62" s="143" t="s">
        <v>82</v>
      </c>
      <c r="B62" s="143"/>
      <c r="C62" s="40">
        <v>2212</v>
      </c>
      <c r="D62" s="40">
        <v>321</v>
      </c>
      <c r="E62" s="40">
        <v>263</v>
      </c>
      <c r="F62" s="39"/>
      <c r="G62" s="39"/>
      <c r="H62" s="39"/>
      <c r="I62" s="39" t="s">
        <v>26</v>
      </c>
    </row>
    <row r="63" spans="1:9" s="4" customFormat="1" ht="33" customHeight="1" x14ac:dyDescent="0.25">
      <c r="A63" s="143" t="s">
        <v>83</v>
      </c>
      <c r="B63" s="143"/>
      <c r="C63" s="40">
        <v>2220</v>
      </c>
      <c r="D63" s="40">
        <v>340</v>
      </c>
      <c r="E63" s="40"/>
      <c r="F63" s="39"/>
      <c r="G63" s="39"/>
      <c r="H63" s="39"/>
      <c r="I63" s="39" t="s">
        <v>26</v>
      </c>
    </row>
    <row r="64" spans="1:9" s="4" customFormat="1" ht="13.5" customHeight="1" x14ac:dyDescent="0.25">
      <c r="A64" s="143" t="s">
        <v>84</v>
      </c>
      <c r="B64" s="143"/>
      <c r="C64" s="40">
        <v>2230</v>
      </c>
      <c r="D64" s="40">
        <v>350</v>
      </c>
      <c r="E64" s="40"/>
      <c r="F64" s="39"/>
      <c r="G64" s="39"/>
      <c r="H64" s="39"/>
      <c r="I64" s="39" t="s">
        <v>26</v>
      </c>
    </row>
    <row r="65" spans="1:9" s="4" customFormat="1" ht="18" customHeight="1" x14ac:dyDescent="0.25">
      <c r="A65" s="143" t="s">
        <v>85</v>
      </c>
      <c r="B65" s="143"/>
      <c r="C65" s="40">
        <v>2240</v>
      </c>
      <c r="D65" s="40">
        <v>360</v>
      </c>
      <c r="E65" s="40"/>
      <c r="F65" s="39"/>
      <c r="G65" s="39"/>
      <c r="H65" s="39"/>
      <c r="I65" s="39" t="s">
        <v>26</v>
      </c>
    </row>
    <row r="66" spans="1:9" s="4" customFormat="1" ht="17.25" customHeight="1" x14ac:dyDescent="0.25">
      <c r="A66" s="143" t="s">
        <v>86</v>
      </c>
      <c r="B66" s="143"/>
      <c r="C66" s="40">
        <v>2300</v>
      </c>
      <c r="D66" s="40">
        <v>850</v>
      </c>
      <c r="E66" s="40"/>
      <c r="F66" s="39">
        <f>SUM(F67:F69)</f>
        <v>10320.34</v>
      </c>
      <c r="G66" s="39">
        <f t="shared" ref="G66:H66" si="3">SUM(G67:G69)</f>
        <v>9060</v>
      </c>
      <c r="H66" s="39">
        <f t="shared" si="3"/>
        <v>9060</v>
      </c>
      <c r="I66" s="39" t="s">
        <v>26</v>
      </c>
    </row>
    <row r="67" spans="1:9" s="4" customFormat="1" ht="27" customHeight="1" x14ac:dyDescent="0.25">
      <c r="A67" s="143" t="s">
        <v>87</v>
      </c>
      <c r="B67" s="143"/>
      <c r="C67" s="40">
        <v>2310</v>
      </c>
      <c r="D67" s="40">
        <v>851</v>
      </c>
      <c r="E67" s="40">
        <v>290</v>
      </c>
      <c r="F67" s="90">
        <f>9050-316.28</f>
        <v>8733.7199999999993</v>
      </c>
      <c r="G67" s="90">
        <v>9000</v>
      </c>
      <c r="H67" s="90">
        <v>9000</v>
      </c>
      <c r="I67" s="41" t="s">
        <v>26</v>
      </c>
    </row>
    <row r="68" spans="1:9" s="4" customFormat="1" ht="33" customHeight="1" x14ac:dyDescent="0.25">
      <c r="A68" s="132" t="s">
        <v>88</v>
      </c>
      <c r="B68" s="132"/>
      <c r="C68" s="42">
        <v>2320</v>
      </c>
      <c r="D68" s="42">
        <v>852</v>
      </c>
      <c r="E68" s="42">
        <v>290</v>
      </c>
      <c r="F68" s="91">
        <v>0</v>
      </c>
      <c r="G68" s="91">
        <v>60</v>
      </c>
      <c r="H68" s="91">
        <v>60</v>
      </c>
      <c r="I68" s="41" t="s">
        <v>26</v>
      </c>
    </row>
    <row r="69" spans="1:9" s="4" customFormat="1" ht="17.25" customHeight="1" x14ac:dyDescent="0.25">
      <c r="A69" s="132" t="s">
        <v>89</v>
      </c>
      <c r="B69" s="132"/>
      <c r="C69" s="42">
        <v>2330</v>
      </c>
      <c r="D69" s="42">
        <v>853</v>
      </c>
      <c r="E69" s="42">
        <v>290</v>
      </c>
      <c r="F69" s="91">
        <f>10+1270.34+316.28-10</f>
        <v>1586.62</v>
      </c>
      <c r="G69" s="91">
        <v>0</v>
      </c>
      <c r="H69" s="91"/>
      <c r="I69" s="41" t="s">
        <v>26</v>
      </c>
    </row>
    <row r="70" spans="1:9" s="4" customFormat="1" ht="15.75" customHeight="1" x14ac:dyDescent="0.25">
      <c r="A70" s="132" t="s">
        <v>90</v>
      </c>
      <c r="B70" s="132"/>
      <c r="C70" s="42">
        <v>2400</v>
      </c>
      <c r="D70" s="42" t="s">
        <v>26</v>
      </c>
      <c r="E70" s="42"/>
      <c r="F70" s="41">
        <f>SUM(F71:F73)</f>
        <v>0</v>
      </c>
      <c r="G70" s="41">
        <f t="shared" ref="G70:H70" si="4">SUM(G71:G73)</f>
        <v>0</v>
      </c>
      <c r="H70" s="41">
        <f t="shared" si="4"/>
        <v>0</v>
      </c>
      <c r="I70" s="41" t="s">
        <v>26</v>
      </c>
    </row>
    <row r="71" spans="1:9" s="4" customFormat="1" ht="29.25" customHeight="1" x14ac:dyDescent="0.25">
      <c r="A71" s="132" t="s">
        <v>91</v>
      </c>
      <c r="B71" s="132"/>
      <c r="C71" s="42">
        <v>2410</v>
      </c>
      <c r="D71" s="42">
        <v>613</v>
      </c>
      <c r="E71" s="42"/>
      <c r="F71" s="41"/>
      <c r="G71" s="41"/>
      <c r="H71" s="41"/>
      <c r="I71" s="41" t="s">
        <v>26</v>
      </c>
    </row>
    <row r="72" spans="1:9" s="4" customFormat="1" ht="16.5" customHeight="1" x14ac:dyDescent="0.25">
      <c r="A72" s="132" t="s">
        <v>92</v>
      </c>
      <c r="B72" s="132"/>
      <c r="C72" s="42">
        <v>2420</v>
      </c>
      <c r="D72" s="42">
        <v>623</v>
      </c>
      <c r="E72" s="42"/>
      <c r="F72" s="41"/>
      <c r="G72" s="41"/>
      <c r="H72" s="41"/>
      <c r="I72" s="41" t="s">
        <v>26</v>
      </c>
    </row>
    <row r="73" spans="1:9" s="4" customFormat="1" ht="28.5" customHeight="1" x14ac:dyDescent="0.25">
      <c r="A73" s="132" t="s">
        <v>93</v>
      </c>
      <c r="B73" s="132"/>
      <c r="C73" s="42">
        <v>2430</v>
      </c>
      <c r="D73" s="42">
        <v>634</v>
      </c>
      <c r="E73" s="42"/>
      <c r="F73" s="41"/>
      <c r="G73" s="41"/>
      <c r="H73" s="41"/>
      <c r="I73" s="41" t="s">
        <v>26</v>
      </c>
    </row>
    <row r="74" spans="1:9" s="4" customFormat="1" ht="15.75" customHeight="1" x14ac:dyDescent="0.25">
      <c r="A74" s="132" t="s">
        <v>94</v>
      </c>
      <c r="B74" s="132"/>
      <c r="C74" s="42">
        <v>2440</v>
      </c>
      <c r="D74" s="42">
        <v>810</v>
      </c>
      <c r="E74" s="42"/>
      <c r="F74" s="41"/>
      <c r="G74" s="41"/>
      <c r="H74" s="41"/>
      <c r="I74" s="41"/>
    </row>
    <row r="75" spans="1:9" s="4" customFormat="1" ht="16.5" customHeight="1" x14ac:dyDescent="0.25">
      <c r="A75" s="141" t="s">
        <v>95</v>
      </c>
      <c r="B75" s="142"/>
      <c r="C75" s="42">
        <v>2450</v>
      </c>
      <c r="D75" s="42">
        <v>862</v>
      </c>
      <c r="E75" s="42"/>
      <c r="F75" s="41"/>
      <c r="G75" s="41"/>
      <c r="H75" s="41"/>
      <c r="I75" s="41"/>
    </row>
    <row r="76" spans="1:9" s="4" customFormat="1" ht="30" customHeight="1" x14ac:dyDescent="0.25">
      <c r="A76" s="141" t="s">
        <v>96</v>
      </c>
      <c r="B76" s="142"/>
      <c r="C76" s="42">
        <v>2460</v>
      </c>
      <c r="D76" s="42">
        <v>863</v>
      </c>
      <c r="E76" s="42"/>
      <c r="F76" s="41"/>
      <c r="G76" s="41"/>
      <c r="H76" s="41"/>
      <c r="I76" s="41" t="s">
        <v>26</v>
      </c>
    </row>
    <row r="77" spans="1:9" s="4" customFormat="1" ht="17.25" customHeight="1" x14ac:dyDescent="0.25">
      <c r="A77" s="132" t="s">
        <v>97</v>
      </c>
      <c r="B77" s="132"/>
      <c r="C77" s="42">
        <v>2500</v>
      </c>
      <c r="D77" s="42" t="s">
        <v>26</v>
      </c>
      <c r="E77" s="42"/>
      <c r="F77" s="41">
        <f>F78</f>
        <v>0</v>
      </c>
      <c r="G77" s="41">
        <f t="shared" ref="G77:H77" si="5">G78</f>
        <v>0</v>
      </c>
      <c r="H77" s="41">
        <f t="shared" si="5"/>
        <v>0</v>
      </c>
      <c r="I77" s="41" t="s">
        <v>26</v>
      </c>
    </row>
    <row r="78" spans="1:9" s="4" customFormat="1" ht="47.25" customHeight="1" x14ac:dyDescent="0.25">
      <c r="A78" s="132" t="s">
        <v>98</v>
      </c>
      <c r="B78" s="132"/>
      <c r="C78" s="42">
        <v>2520</v>
      </c>
      <c r="D78" s="42">
        <v>831</v>
      </c>
      <c r="E78" s="42"/>
      <c r="F78" s="41"/>
      <c r="G78" s="41"/>
      <c r="H78" s="41"/>
      <c r="I78" s="41"/>
    </row>
    <row r="79" spans="1:9" s="4" customFormat="1" ht="20.25" customHeight="1" x14ac:dyDescent="0.25">
      <c r="A79" s="132" t="s">
        <v>99</v>
      </c>
      <c r="B79" s="132"/>
      <c r="C79" s="42">
        <v>2600</v>
      </c>
      <c r="D79" s="42" t="s">
        <v>26</v>
      </c>
      <c r="E79" s="42"/>
      <c r="F79" s="41">
        <f>F80+F81+F82+F92+F90</f>
        <v>1258609.8700000001</v>
      </c>
      <c r="G79" s="41">
        <f>G80+G81+G82+G92+G90</f>
        <v>1318554.3700000001</v>
      </c>
      <c r="H79" s="41">
        <f>H80+H81+H82+H92+H90</f>
        <v>1413754.37</v>
      </c>
      <c r="I79" s="41"/>
    </row>
    <row r="80" spans="1:9" s="4" customFormat="1" ht="31.5" customHeight="1" x14ac:dyDescent="0.25">
      <c r="A80" s="132" t="s">
        <v>100</v>
      </c>
      <c r="B80" s="132"/>
      <c r="C80" s="42">
        <v>2610</v>
      </c>
      <c r="D80" s="42">
        <v>241</v>
      </c>
      <c r="E80" s="42"/>
      <c r="F80" s="41"/>
      <c r="G80" s="41"/>
      <c r="H80" s="41"/>
      <c r="I80" s="41"/>
    </row>
    <row r="81" spans="1:9" s="4" customFormat="1" ht="30.75" customHeight="1" x14ac:dyDescent="0.25">
      <c r="A81" s="132" t="s">
        <v>101</v>
      </c>
      <c r="B81" s="132"/>
      <c r="C81" s="42">
        <v>2630</v>
      </c>
      <c r="D81" s="42">
        <v>243</v>
      </c>
      <c r="E81" s="42"/>
      <c r="F81" s="41"/>
      <c r="G81" s="41"/>
      <c r="H81" s="41"/>
      <c r="I81" s="41"/>
    </row>
    <row r="82" spans="1:9" s="4" customFormat="1" ht="18" customHeight="1" x14ac:dyDescent="0.25">
      <c r="A82" s="132" t="s">
        <v>102</v>
      </c>
      <c r="B82" s="132"/>
      <c r="C82" s="42">
        <v>2640</v>
      </c>
      <c r="D82" s="42">
        <v>244</v>
      </c>
      <c r="E82" s="42"/>
      <c r="F82" s="41">
        <f>F84+F85+F86+F87+F88+F89</f>
        <v>1085554.4000000001</v>
      </c>
      <c r="G82" s="41">
        <f>G84+G85+G86+G87+G88+G89</f>
        <v>1198554.3700000001</v>
      </c>
      <c r="H82" s="41">
        <f>H84+H85+H86+H87+H88+H89</f>
        <v>1293754.3700000001</v>
      </c>
      <c r="I82" s="41"/>
    </row>
    <row r="83" spans="1:9" s="4" customFormat="1" ht="15.75" customHeight="1" x14ac:dyDescent="0.25">
      <c r="A83" s="139" t="s">
        <v>103</v>
      </c>
      <c r="B83" s="140"/>
      <c r="C83" s="42"/>
      <c r="D83" s="43"/>
      <c r="E83" s="42"/>
      <c r="F83" s="41"/>
      <c r="G83" s="41"/>
      <c r="H83" s="41"/>
      <c r="I83" s="41"/>
    </row>
    <row r="84" spans="1:9" s="4" customFormat="1" ht="15.75" customHeight="1" x14ac:dyDescent="0.25">
      <c r="A84" s="135" t="s">
        <v>104</v>
      </c>
      <c r="B84" s="135"/>
      <c r="C84" s="42">
        <v>2641</v>
      </c>
      <c r="D84" s="43" t="s">
        <v>105</v>
      </c>
      <c r="E84" s="42"/>
      <c r="F84" s="91">
        <v>6899.76</v>
      </c>
      <c r="G84" s="91">
        <v>15000</v>
      </c>
      <c r="H84" s="91">
        <v>15000</v>
      </c>
      <c r="I84" s="41"/>
    </row>
    <row r="85" spans="1:9" s="4" customFormat="1" ht="16.5" customHeight="1" x14ac:dyDescent="0.25">
      <c r="A85" s="135" t="s">
        <v>106</v>
      </c>
      <c r="B85" s="135"/>
      <c r="C85" s="42">
        <v>2642</v>
      </c>
      <c r="D85" s="43" t="s">
        <v>105</v>
      </c>
      <c r="E85" s="42"/>
      <c r="F85" s="91">
        <f>45418.8-21085.6-406.99</f>
        <v>23926.210000000003</v>
      </c>
      <c r="G85" s="91">
        <v>33762.379999999997</v>
      </c>
      <c r="H85" s="91">
        <v>33762.379999999997</v>
      </c>
      <c r="I85" s="41"/>
    </row>
    <row r="86" spans="1:9" s="4" customFormat="1" ht="19.5" customHeight="1" x14ac:dyDescent="0.25">
      <c r="A86" s="136" t="s">
        <v>107</v>
      </c>
      <c r="B86" s="137"/>
      <c r="C86" s="44">
        <v>2643</v>
      </c>
      <c r="D86" s="43" t="s">
        <v>105</v>
      </c>
      <c r="E86" s="42"/>
      <c r="F86" s="91">
        <f>1000+10156.2+14448+51995.18+70700+4328+7548.1+5000-2092.56+7000-19053.41</f>
        <v>151029.51</v>
      </c>
      <c r="G86" s="91">
        <f>67985.59+70700</f>
        <v>138685.59</v>
      </c>
      <c r="H86" s="91">
        <f>67985.59+70700</f>
        <v>138685.59</v>
      </c>
      <c r="I86" s="41"/>
    </row>
    <row r="87" spans="1:9" s="4" customFormat="1" ht="17.25" customHeight="1" x14ac:dyDescent="0.25">
      <c r="A87" s="135" t="s">
        <v>108</v>
      </c>
      <c r="B87" s="135"/>
      <c r="C87" s="42">
        <v>2644</v>
      </c>
      <c r="D87" s="43" t="s">
        <v>105</v>
      </c>
      <c r="E87" s="42"/>
      <c r="F87" s="91">
        <f>10000+21108.48+89657.77+63523.2+14135.3+500-7433.4+172500-172500+2230.2+18527.1-19968-225.69+240808.35+10000</f>
        <v>442863.31</v>
      </c>
      <c r="G87" s="91">
        <f>215008.84+6035.06</f>
        <v>221043.9</v>
      </c>
      <c r="H87" s="91">
        <v>221043.9</v>
      </c>
      <c r="I87" s="41"/>
    </row>
    <row r="88" spans="1:9" s="4" customFormat="1" ht="19.5" customHeight="1" x14ac:dyDescent="0.25">
      <c r="A88" s="138" t="s">
        <v>109</v>
      </c>
      <c r="B88" s="138"/>
      <c r="C88" s="44">
        <v>2645</v>
      </c>
      <c r="D88" s="43" t="s">
        <v>105</v>
      </c>
      <c r="E88" s="42"/>
      <c r="F88" s="91">
        <f>32300+10000+32300+8000-10000</f>
        <v>72600</v>
      </c>
      <c r="G88" s="91">
        <v>161800</v>
      </c>
      <c r="H88" s="91">
        <f>205400+10000</f>
        <v>215400</v>
      </c>
      <c r="I88" s="41"/>
    </row>
    <row r="89" spans="1:9" s="4" customFormat="1" ht="19.5" customHeight="1" x14ac:dyDescent="0.25">
      <c r="A89" s="138" t="s">
        <v>110</v>
      </c>
      <c r="B89" s="138"/>
      <c r="C89" s="44">
        <v>2646</v>
      </c>
      <c r="D89" s="43" t="s">
        <v>105</v>
      </c>
      <c r="E89" s="42"/>
      <c r="F89" s="91">
        <f>309299.35+11900+119169.22+46659.95+8018.13+500+85150.65+7433.4+9349-2230.2-575.2-195113.89-11324.8</f>
        <v>388235.61000000004</v>
      </c>
      <c r="G89" s="91">
        <f>170362.5+457900</f>
        <v>628262.5</v>
      </c>
      <c r="H89" s="91">
        <f>170362.5+499500</f>
        <v>669862.5</v>
      </c>
      <c r="I89" s="41"/>
    </row>
    <row r="90" spans="1:9" s="4" customFormat="1" ht="15" customHeight="1" x14ac:dyDescent="0.25">
      <c r="A90" s="135" t="s">
        <v>111</v>
      </c>
      <c r="B90" s="135"/>
      <c r="C90" s="42">
        <v>2650</v>
      </c>
      <c r="D90" s="43" t="s">
        <v>112</v>
      </c>
      <c r="E90" s="42"/>
      <c r="F90" s="41">
        <f>F91</f>
        <v>173055.47</v>
      </c>
      <c r="G90" s="41">
        <f>G91</f>
        <v>120000</v>
      </c>
      <c r="H90" s="41">
        <f>H91</f>
        <v>120000</v>
      </c>
      <c r="I90" s="41"/>
    </row>
    <row r="91" spans="1:9" s="4" customFormat="1" ht="28.5" customHeight="1" x14ac:dyDescent="0.25">
      <c r="A91" s="132" t="s">
        <v>113</v>
      </c>
      <c r="B91" s="132"/>
      <c r="C91" s="42">
        <v>2651</v>
      </c>
      <c r="D91" s="42">
        <v>247</v>
      </c>
      <c r="E91" s="42"/>
      <c r="F91" s="91">
        <f>129429.18+180978.76+19081.67+2003.93+15918.33-174356.4</f>
        <v>173055.47</v>
      </c>
      <c r="G91" s="91">
        <v>120000</v>
      </c>
      <c r="H91" s="91">
        <v>120000</v>
      </c>
      <c r="I91" s="41">
        <f t="shared" ref="I91" si="6">I92+I93</f>
        <v>0</v>
      </c>
    </row>
    <row r="92" spans="1:9" s="4" customFormat="1" ht="31.5" customHeight="1" x14ac:dyDescent="0.25">
      <c r="A92" s="135" t="s">
        <v>114</v>
      </c>
      <c r="B92" s="135"/>
      <c r="C92" s="42">
        <v>2700</v>
      </c>
      <c r="D92" s="42">
        <v>400</v>
      </c>
      <c r="E92" s="42"/>
      <c r="F92" s="41">
        <f>F93+F94</f>
        <v>0</v>
      </c>
      <c r="G92" s="41">
        <f>G93+G94</f>
        <v>0</v>
      </c>
      <c r="H92" s="41">
        <f>H93+H94</f>
        <v>0</v>
      </c>
      <c r="I92" s="41"/>
    </row>
    <row r="93" spans="1:9" s="4" customFormat="1" ht="44.25" customHeight="1" x14ac:dyDescent="0.25">
      <c r="A93" s="132" t="s">
        <v>115</v>
      </c>
      <c r="B93" s="132"/>
      <c r="C93" s="42">
        <v>2710</v>
      </c>
      <c r="D93" s="42">
        <v>406</v>
      </c>
      <c r="E93" s="42"/>
      <c r="F93" s="41"/>
      <c r="G93" s="41"/>
      <c r="H93" s="41"/>
      <c r="I93" s="41"/>
    </row>
    <row r="94" spans="1:9" s="4" customFormat="1" ht="15" customHeight="1" x14ac:dyDescent="0.25">
      <c r="A94" s="132" t="s">
        <v>116</v>
      </c>
      <c r="B94" s="132"/>
      <c r="C94" s="42">
        <v>2720</v>
      </c>
      <c r="D94" s="42">
        <v>407</v>
      </c>
      <c r="E94" s="42"/>
      <c r="F94" s="41"/>
      <c r="G94" s="41"/>
      <c r="H94" s="41"/>
      <c r="I94" s="45" t="s">
        <v>26</v>
      </c>
    </row>
    <row r="95" spans="1:9" s="4" customFormat="1" ht="20.25" customHeight="1" x14ac:dyDescent="0.25">
      <c r="A95" s="133" t="s">
        <v>117</v>
      </c>
      <c r="B95" s="133"/>
      <c r="C95" s="46">
        <v>3000</v>
      </c>
      <c r="D95" s="46">
        <v>100</v>
      </c>
      <c r="E95" s="42"/>
      <c r="F95" s="45">
        <f>SUM(F96:F98)</f>
        <v>-3439</v>
      </c>
      <c r="G95" s="45">
        <f t="shared" ref="G95:H95" si="7">SUM(G96:G98)</f>
        <v>0</v>
      </c>
      <c r="H95" s="45">
        <f t="shared" si="7"/>
        <v>0</v>
      </c>
      <c r="I95" s="41" t="s">
        <v>26</v>
      </c>
    </row>
    <row r="96" spans="1:9" s="4" customFormat="1" ht="25.5" customHeight="1" x14ac:dyDescent="0.25">
      <c r="A96" s="132" t="s">
        <v>118</v>
      </c>
      <c r="B96" s="132"/>
      <c r="C96" s="42">
        <v>3010</v>
      </c>
      <c r="D96" s="42"/>
      <c r="E96" s="46"/>
      <c r="F96" s="41">
        <f>-1013-1506-920</f>
        <v>-3439</v>
      </c>
      <c r="G96" s="41"/>
      <c r="H96" s="41"/>
      <c r="I96" s="41" t="s">
        <v>26</v>
      </c>
    </row>
    <row r="97" spans="1:10" x14ac:dyDescent="0.25">
      <c r="A97" s="132" t="s">
        <v>119</v>
      </c>
      <c r="B97" s="132"/>
      <c r="C97" s="42">
        <v>3020</v>
      </c>
      <c r="D97" s="42"/>
      <c r="E97" s="42"/>
      <c r="F97" s="41"/>
      <c r="G97" s="41"/>
      <c r="H97" s="41"/>
      <c r="I97" s="41" t="s">
        <v>26</v>
      </c>
    </row>
    <row r="98" spans="1:10" x14ac:dyDescent="0.25">
      <c r="A98" s="132" t="s">
        <v>120</v>
      </c>
      <c r="B98" s="132"/>
      <c r="C98" s="42">
        <v>3030</v>
      </c>
      <c r="D98" s="42"/>
      <c r="E98" s="42"/>
      <c r="F98" s="41"/>
      <c r="G98" s="41"/>
      <c r="H98" s="41"/>
      <c r="I98" s="45" t="s">
        <v>26</v>
      </c>
    </row>
    <row r="99" spans="1:10" ht="23.25" customHeight="1" x14ac:dyDescent="0.25">
      <c r="A99" s="133" t="s">
        <v>121</v>
      </c>
      <c r="B99" s="133"/>
      <c r="C99" s="46">
        <v>4000</v>
      </c>
      <c r="D99" s="46" t="s">
        <v>26</v>
      </c>
      <c r="E99" s="42"/>
      <c r="F99" s="45">
        <f>F100</f>
        <v>174356.4</v>
      </c>
      <c r="G99" s="45">
        <f t="shared" ref="G99:H99" si="8">G100</f>
        <v>0</v>
      </c>
      <c r="H99" s="45">
        <f t="shared" si="8"/>
        <v>0</v>
      </c>
      <c r="I99" s="41" t="s">
        <v>26</v>
      </c>
    </row>
    <row r="100" spans="1:10" ht="27.75" customHeight="1" x14ac:dyDescent="0.25">
      <c r="A100" s="132" t="s">
        <v>122</v>
      </c>
      <c r="B100" s="132"/>
      <c r="C100" s="42">
        <v>4010</v>
      </c>
      <c r="D100" s="42">
        <v>610</v>
      </c>
      <c r="E100" s="46"/>
      <c r="F100" s="41">
        <v>174356.4</v>
      </c>
      <c r="G100" s="41"/>
      <c r="H100" s="41"/>
      <c r="I100" s="41"/>
    </row>
    <row r="101" spans="1:10" ht="12.75" customHeight="1" x14ac:dyDescent="0.25">
      <c r="A101" s="47"/>
      <c r="B101" s="48"/>
      <c r="C101" s="49"/>
      <c r="D101" s="49"/>
      <c r="E101" s="50"/>
      <c r="F101" s="51"/>
      <c r="G101" s="51"/>
      <c r="H101" s="51"/>
      <c r="I101" s="52"/>
    </row>
    <row r="102" spans="1:10" ht="21.75" customHeight="1" x14ac:dyDescent="0.25">
      <c r="A102" s="134" t="s">
        <v>123</v>
      </c>
      <c r="B102" s="134"/>
      <c r="C102" s="134"/>
      <c r="D102" s="134"/>
      <c r="E102" s="134"/>
      <c r="F102" s="134"/>
      <c r="G102" s="134"/>
      <c r="H102" s="134"/>
      <c r="I102" s="52"/>
    </row>
    <row r="103" spans="1:10" x14ac:dyDescent="0.25">
      <c r="A103" s="53"/>
      <c r="B103" s="52"/>
      <c r="C103" s="54"/>
      <c r="D103" s="54"/>
      <c r="E103" s="54"/>
      <c r="F103" s="54"/>
      <c r="G103" s="55"/>
      <c r="H103" s="54"/>
      <c r="I103" s="56"/>
    </row>
    <row r="104" spans="1:10" ht="14.25" customHeight="1" x14ac:dyDescent="0.25">
      <c r="A104" s="121" t="s">
        <v>124</v>
      </c>
      <c r="B104" s="121" t="s">
        <v>14</v>
      </c>
      <c r="C104" s="121" t="s">
        <v>125</v>
      </c>
      <c r="D104" s="121" t="s">
        <v>126</v>
      </c>
      <c r="E104" s="124" t="s">
        <v>16</v>
      </c>
      <c r="F104" s="127" t="s">
        <v>18</v>
      </c>
      <c r="G104" s="128"/>
      <c r="H104" s="128"/>
      <c r="I104" s="129"/>
    </row>
    <row r="105" spans="1:10" ht="22.5" customHeight="1" x14ac:dyDescent="0.25">
      <c r="A105" s="122"/>
      <c r="B105" s="122"/>
      <c r="C105" s="122"/>
      <c r="D105" s="122"/>
      <c r="E105" s="125"/>
      <c r="F105" s="121" t="s">
        <v>19</v>
      </c>
      <c r="G105" s="100" t="s">
        <v>179</v>
      </c>
      <c r="H105" s="100" t="s">
        <v>193</v>
      </c>
      <c r="I105" s="130" t="s">
        <v>20</v>
      </c>
    </row>
    <row r="106" spans="1:10" ht="44.25" customHeight="1" x14ac:dyDescent="0.25">
      <c r="A106" s="123"/>
      <c r="B106" s="123"/>
      <c r="C106" s="123"/>
      <c r="D106" s="123"/>
      <c r="E106" s="126"/>
      <c r="F106" s="123"/>
      <c r="G106" s="100" t="s">
        <v>22</v>
      </c>
      <c r="H106" s="100" t="s">
        <v>23</v>
      </c>
      <c r="I106" s="131"/>
    </row>
    <row r="107" spans="1:10" x14ac:dyDescent="0.25">
      <c r="A107" s="57">
        <v>1</v>
      </c>
      <c r="B107" s="100">
        <v>2</v>
      </c>
      <c r="C107" s="100">
        <v>3</v>
      </c>
      <c r="D107" s="100">
        <v>4</v>
      </c>
      <c r="E107" s="32" t="s">
        <v>127</v>
      </c>
      <c r="F107" s="100">
        <v>5</v>
      </c>
      <c r="G107" s="100">
        <v>6</v>
      </c>
      <c r="H107" s="100">
        <v>7</v>
      </c>
      <c r="I107" s="58">
        <v>8</v>
      </c>
    </row>
    <row r="108" spans="1:10" ht="22.5" customHeight="1" x14ac:dyDescent="0.25">
      <c r="A108" s="57">
        <v>1</v>
      </c>
      <c r="B108" s="59" t="s">
        <v>128</v>
      </c>
      <c r="C108" s="60">
        <v>26000</v>
      </c>
      <c r="D108" s="60" t="s">
        <v>26</v>
      </c>
      <c r="E108" s="61" t="s">
        <v>26</v>
      </c>
      <c r="F108" s="62">
        <f>F109+F110+F111+F115</f>
        <v>1258609.8700000001</v>
      </c>
      <c r="G108" s="62">
        <f>G109+G110+G111+G115</f>
        <v>1318554.3700000001</v>
      </c>
      <c r="H108" s="62">
        <f t="shared" ref="H108" si="9">H109+H110+H111+H115</f>
        <v>1413754.37</v>
      </c>
      <c r="I108" s="39"/>
    </row>
    <row r="109" spans="1:10" ht="183.75" customHeight="1" x14ac:dyDescent="0.25">
      <c r="A109" s="63" t="s">
        <v>129</v>
      </c>
      <c r="B109" s="64" t="s">
        <v>182</v>
      </c>
      <c r="C109" s="65">
        <v>26100</v>
      </c>
      <c r="D109" s="40" t="s">
        <v>26</v>
      </c>
      <c r="E109" s="22" t="s">
        <v>26</v>
      </c>
      <c r="F109" s="90">
        <f>500-225.69</f>
        <v>274.31</v>
      </c>
      <c r="G109" s="39"/>
      <c r="H109" s="39"/>
      <c r="I109" s="39"/>
    </row>
    <row r="110" spans="1:10" ht="43.5" customHeight="1" x14ac:dyDescent="0.25">
      <c r="A110" s="63" t="s">
        <v>130</v>
      </c>
      <c r="B110" s="64" t="s">
        <v>131</v>
      </c>
      <c r="C110" s="65">
        <v>26200</v>
      </c>
      <c r="D110" s="40" t="s">
        <v>26</v>
      </c>
      <c r="E110" s="22" t="s">
        <v>26</v>
      </c>
      <c r="F110" s="39"/>
      <c r="G110" s="39"/>
      <c r="H110" s="39"/>
      <c r="I110" s="39"/>
    </row>
    <row r="111" spans="1:10" ht="46.5" customHeight="1" x14ac:dyDescent="0.25">
      <c r="A111" s="63" t="s">
        <v>132</v>
      </c>
      <c r="B111" s="64" t="s">
        <v>133</v>
      </c>
      <c r="C111" s="65">
        <v>26300</v>
      </c>
      <c r="D111" s="40" t="s">
        <v>26</v>
      </c>
      <c r="E111" s="22" t="s">
        <v>26</v>
      </c>
      <c r="F111" s="90">
        <f>45418.8+10156.2+14448+51995.18+21108.48+63523.2+85150.65+129429.18+6899.76+46659.95+500+180978.76+2003.93-21085.6-23512.99-406.99-2092.56-19053.41-19968-20000-174356.4</f>
        <v>377796.14</v>
      </c>
      <c r="G111" s="39">
        <v>0</v>
      </c>
      <c r="H111" s="39">
        <v>0</v>
      </c>
      <c r="I111" s="39"/>
      <c r="J111" s="2">
        <v>130</v>
      </c>
    </row>
    <row r="112" spans="1:10" ht="17.25" customHeight="1" x14ac:dyDescent="0.25">
      <c r="A112" s="66" t="s">
        <v>134</v>
      </c>
      <c r="B112" s="64" t="s">
        <v>135</v>
      </c>
      <c r="C112" s="65">
        <v>26310</v>
      </c>
      <c r="D112" s="40" t="s">
        <v>26</v>
      </c>
      <c r="E112" s="22" t="s">
        <v>26</v>
      </c>
      <c r="F112" s="39">
        <f>F111</f>
        <v>377796.14</v>
      </c>
      <c r="G112" s="39"/>
      <c r="H112" s="39"/>
      <c r="I112" s="39"/>
    </row>
    <row r="113" spans="1:13" ht="16.5" customHeight="1" x14ac:dyDescent="0.25">
      <c r="A113" s="66"/>
      <c r="B113" s="64" t="s">
        <v>136</v>
      </c>
      <c r="C113" s="65" t="s">
        <v>137</v>
      </c>
      <c r="D113" s="40" t="s">
        <v>26</v>
      </c>
      <c r="E113" s="22">
        <v>150</v>
      </c>
      <c r="F113" s="39"/>
      <c r="G113" s="39"/>
      <c r="H113" s="39"/>
      <c r="I113" s="39"/>
    </row>
    <row r="114" spans="1:13" ht="20.25" customHeight="1" x14ac:dyDescent="0.25">
      <c r="A114" s="66" t="s">
        <v>138</v>
      </c>
      <c r="B114" s="64" t="s">
        <v>139</v>
      </c>
      <c r="C114" s="65">
        <v>26320</v>
      </c>
      <c r="D114" s="40" t="s">
        <v>26</v>
      </c>
      <c r="E114" s="22" t="s">
        <v>26</v>
      </c>
      <c r="F114" s="39"/>
      <c r="G114" s="39"/>
      <c r="H114" s="39"/>
      <c r="I114" s="39"/>
      <c r="L114" s="12" t="s">
        <v>191</v>
      </c>
      <c r="M114" s="13"/>
    </row>
    <row r="115" spans="1:13" ht="45" customHeight="1" x14ac:dyDescent="0.25">
      <c r="A115" s="63" t="s">
        <v>140</v>
      </c>
      <c r="B115" s="64" t="s">
        <v>141</v>
      </c>
      <c r="C115" s="65">
        <v>26400</v>
      </c>
      <c r="D115" s="40" t="s">
        <v>26</v>
      </c>
      <c r="E115" s="22" t="s">
        <v>26</v>
      </c>
      <c r="F115" s="92">
        <f>F116+F119+F123+F125+F128</f>
        <v>880539.42</v>
      </c>
      <c r="G115" s="92">
        <f>G116+G119+G123+G125+G128</f>
        <v>1318554.3700000001</v>
      </c>
      <c r="H115" s="92">
        <f>H116+H119+H123+H125+H128</f>
        <v>1413754.37</v>
      </c>
      <c r="I115" s="39"/>
      <c r="J115" s="6" t="s">
        <v>188</v>
      </c>
      <c r="L115" s="8">
        <v>111</v>
      </c>
      <c r="M115" s="11">
        <f>7433.4+7946.7+89409.3-2230.2-2701.9</f>
        <v>99857.3</v>
      </c>
    </row>
    <row r="116" spans="1:13" ht="44.25" customHeight="1" x14ac:dyDescent="0.25">
      <c r="A116" s="66" t="s">
        <v>142</v>
      </c>
      <c r="B116" s="64" t="s">
        <v>143</v>
      </c>
      <c r="C116" s="65">
        <v>26410</v>
      </c>
      <c r="D116" s="40" t="s">
        <v>26</v>
      </c>
      <c r="E116" s="22" t="s">
        <v>26</v>
      </c>
      <c r="F116" s="39">
        <f>F117+F118</f>
        <v>590052.07000000007</v>
      </c>
      <c r="G116" s="39">
        <f>G117+G118</f>
        <v>925691.87000000011</v>
      </c>
      <c r="H116" s="39">
        <f t="shared" ref="H116" si="10">H117+H118</f>
        <v>967291.87000000011</v>
      </c>
      <c r="I116" s="39"/>
      <c r="L116" s="8">
        <v>112</v>
      </c>
      <c r="M116" s="11">
        <f>1000+10000+89657.77+309299.35+11900+119169.22+8018.13-7946.7+172500-89409.3-172500+9349+4328+2701.9</f>
        <v>468067.37</v>
      </c>
    </row>
    <row r="117" spans="1:13" ht="29.25" customHeight="1" x14ac:dyDescent="0.25">
      <c r="A117" s="66" t="s">
        <v>144</v>
      </c>
      <c r="B117" s="64" t="s">
        <v>145</v>
      </c>
      <c r="C117" s="65">
        <v>26411</v>
      </c>
      <c r="D117" s="40" t="s">
        <v>26</v>
      </c>
      <c r="E117" s="22" t="s">
        <v>26</v>
      </c>
      <c r="F117" s="39">
        <f>F79-F111-F119-F128-F109</f>
        <v>590052.07000000007</v>
      </c>
      <c r="G117" s="39">
        <f>G79-G111-G119-G128</f>
        <v>925691.87000000011</v>
      </c>
      <c r="H117" s="39">
        <f>H79-H111-H119-H128</f>
        <v>967291.87000000011</v>
      </c>
      <c r="I117" s="39"/>
      <c r="L117" s="8">
        <v>113</v>
      </c>
      <c r="M117" s="11">
        <f>14135.3+32300+10000+70700-7433.4+32300+19081.67+2230.2</f>
        <v>173313.77000000002</v>
      </c>
    </row>
    <row r="118" spans="1:13" ht="22.5" customHeight="1" x14ac:dyDescent="0.25">
      <c r="A118" s="66" t="s">
        <v>146</v>
      </c>
      <c r="B118" s="64" t="s">
        <v>147</v>
      </c>
      <c r="C118" s="40">
        <v>26412</v>
      </c>
      <c r="D118" s="40" t="s">
        <v>26</v>
      </c>
      <c r="E118" s="22" t="s">
        <v>26</v>
      </c>
      <c r="F118" s="39"/>
      <c r="G118" s="39"/>
      <c r="H118" s="39"/>
      <c r="I118" s="39"/>
      <c r="L118" s="9">
        <v>110</v>
      </c>
      <c r="M118" s="16">
        <f>M116+M117+M115</f>
        <v>741238.44000000006</v>
      </c>
    </row>
    <row r="119" spans="1:13" ht="45.75" customHeight="1" x14ac:dyDescent="0.25">
      <c r="A119" s="66" t="s">
        <v>148</v>
      </c>
      <c r="B119" s="64" t="s">
        <v>149</v>
      </c>
      <c r="C119" s="65">
        <v>26420</v>
      </c>
      <c r="D119" s="40" t="s">
        <v>26</v>
      </c>
      <c r="E119" s="22" t="s">
        <v>26</v>
      </c>
      <c r="F119" s="39">
        <f>F120+F122</f>
        <v>143300</v>
      </c>
      <c r="G119" s="39">
        <f>G120+G122</f>
        <v>222500</v>
      </c>
      <c r="H119" s="39">
        <f t="shared" ref="H119" si="11">H120+H122</f>
        <v>276100</v>
      </c>
      <c r="I119" s="39"/>
      <c r="L119" s="8">
        <v>130</v>
      </c>
      <c r="M119" s="14">
        <f>F111</f>
        <v>377796.14</v>
      </c>
    </row>
    <row r="120" spans="1:13" ht="27.75" customHeight="1" x14ac:dyDescent="0.25">
      <c r="A120" s="66" t="s">
        <v>150</v>
      </c>
      <c r="B120" s="64" t="s">
        <v>145</v>
      </c>
      <c r="C120" s="65">
        <v>26421</v>
      </c>
      <c r="D120" s="40" t="s">
        <v>26</v>
      </c>
      <c r="E120" s="22" t="s">
        <v>26</v>
      </c>
      <c r="F120" s="39">
        <f>F35-F37-F38-F36</f>
        <v>143300</v>
      </c>
      <c r="G120" s="39">
        <f>G35-G37-G38-G36</f>
        <v>222500</v>
      </c>
      <c r="H120" s="39">
        <f>H35-H37-H38-H36</f>
        <v>276100</v>
      </c>
      <c r="I120" s="39"/>
      <c r="L120" s="8" t="s">
        <v>189</v>
      </c>
      <c r="M120" s="17">
        <f>M118+M119+F109</f>
        <v>1119308.8900000001</v>
      </c>
    </row>
    <row r="121" spans="1:13" x14ac:dyDescent="0.25">
      <c r="A121" s="66"/>
      <c r="B121" s="64" t="s">
        <v>136</v>
      </c>
      <c r="C121" s="65" t="s">
        <v>151</v>
      </c>
      <c r="D121" s="40" t="s">
        <v>26</v>
      </c>
      <c r="E121" s="22">
        <v>150</v>
      </c>
      <c r="F121" s="39">
        <f>F120</f>
        <v>143300</v>
      </c>
      <c r="G121" s="39">
        <f>G120</f>
        <v>222500</v>
      </c>
      <c r="H121" s="39">
        <f>H120</f>
        <v>276100</v>
      </c>
      <c r="I121" s="39"/>
      <c r="L121" s="10" t="s">
        <v>190</v>
      </c>
      <c r="M121" s="15">
        <f>M118-F115</f>
        <v>-139300.97999999998</v>
      </c>
    </row>
    <row r="122" spans="1:13" ht="18" customHeight="1" x14ac:dyDescent="0.25">
      <c r="A122" s="67" t="s">
        <v>152</v>
      </c>
      <c r="B122" s="64" t="s">
        <v>147</v>
      </c>
      <c r="C122" s="65">
        <v>26422</v>
      </c>
      <c r="D122" s="40" t="s">
        <v>26</v>
      </c>
      <c r="E122" s="22" t="s">
        <v>26</v>
      </c>
      <c r="F122" s="39"/>
      <c r="G122" s="39"/>
      <c r="H122" s="39"/>
      <c r="I122" s="39"/>
    </row>
    <row r="123" spans="1:13" ht="28.5" customHeight="1" x14ac:dyDescent="0.25">
      <c r="A123" s="66" t="s">
        <v>153</v>
      </c>
      <c r="B123" s="64" t="s">
        <v>154</v>
      </c>
      <c r="C123" s="65">
        <v>26430</v>
      </c>
      <c r="D123" s="40" t="s">
        <v>26</v>
      </c>
      <c r="E123" s="22" t="s">
        <v>26</v>
      </c>
      <c r="F123" s="39"/>
      <c r="G123" s="39"/>
      <c r="H123" s="39"/>
      <c r="I123" s="39"/>
      <c r="M123" s="2">
        <v>1378924.93</v>
      </c>
    </row>
    <row r="124" spans="1:13" ht="16.5" customHeight="1" x14ac:dyDescent="0.25">
      <c r="A124" s="66"/>
      <c r="B124" s="64" t="s">
        <v>136</v>
      </c>
      <c r="C124" s="65" t="s">
        <v>155</v>
      </c>
      <c r="D124" s="40" t="s">
        <v>26</v>
      </c>
      <c r="E124" s="22">
        <v>150</v>
      </c>
      <c r="F124" s="39"/>
      <c r="G124" s="39"/>
      <c r="H124" s="39"/>
      <c r="I124" s="39">
        <f t="shared" ref="G124:I125" si="12">I125+I126</f>
        <v>0</v>
      </c>
    </row>
    <row r="125" spans="1:13" ht="16.5" customHeight="1" x14ac:dyDescent="0.25">
      <c r="A125" s="66" t="s">
        <v>156</v>
      </c>
      <c r="B125" s="64" t="s">
        <v>157</v>
      </c>
      <c r="C125" s="65">
        <v>26440</v>
      </c>
      <c r="D125" s="40" t="s">
        <v>26</v>
      </c>
      <c r="E125" s="22" t="s">
        <v>26</v>
      </c>
      <c r="F125" s="39">
        <f>F126+F127</f>
        <v>0</v>
      </c>
      <c r="G125" s="39">
        <f t="shared" si="12"/>
        <v>0</v>
      </c>
      <c r="H125" s="39">
        <f t="shared" si="12"/>
        <v>0</v>
      </c>
      <c r="I125" s="39"/>
    </row>
    <row r="126" spans="1:13" ht="29.25" customHeight="1" x14ac:dyDescent="0.25">
      <c r="A126" s="66" t="s">
        <v>158</v>
      </c>
      <c r="B126" s="64" t="s">
        <v>145</v>
      </c>
      <c r="C126" s="65">
        <v>26441</v>
      </c>
      <c r="D126" s="40" t="s">
        <v>26</v>
      </c>
      <c r="E126" s="22" t="s">
        <v>26</v>
      </c>
      <c r="F126" s="39"/>
      <c r="G126" s="39"/>
      <c r="H126" s="39"/>
      <c r="I126" s="39"/>
    </row>
    <row r="127" spans="1:13" ht="18.75" customHeight="1" x14ac:dyDescent="0.25">
      <c r="A127" s="67" t="s">
        <v>159</v>
      </c>
      <c r="B127" s="64" t="s">
        <v>147</v>
      </c>
      <c r="C127" s="65">
        <v>26442</v>
      </c>
      <c r="D127" s="40" t="s">
        <v>26</v>
      </c>
      <c r="E127" s="22" t="s">
        <v>26</v>
      </c>
      <c r="F127" s="39"/>
      <c r="G127" s="39"/>
      <c r="H127" s="39"/>
      <c r="I127" s="39">
        <f t="shared" ref="G127:I128" si="13">I128+I130</f>
        <v>0</v>
      </c>
    </row>
    <row r="128" spans="1:13" ht="18.75" customHeight="1" x14ac:dyDescent="0.25">
      <c r="A128" s="67" t="s">
        <v>160</v>
      </c>
      <c r="B128" s="64" t="s">
        <v>161</v>
      </c>
      <c r="C128" s="65">
        <v>26450</v>
      </c>
      <c r="D128" s="40" t="s">
        <v>26</v>
      </c>
      <c r="E128" s="22" t="s">
        <v>26</v>
      </c>
      <c r="F128" s="39">
        <f>F129+F131</f>
        <v>147187.35</v>
      </c>
      <c r="G128" s="39">
        <f t="shared" si="13"/>
        <v>170362.5</v>
      </c>
      <c r="H128" s="39">
        <f t="shared" si="13"/>
        <v>170362.5</v>
      </c>
      <c r="I128" s="39"/>
    </row>
    <row r="129" spans="1:10" ht="25.5" customHeight="1" x14ac:dyDescent="0.25">
      <c r="A129" s="67" t="s">
        <v>162</v>
      </c>
      <c r="B129" s="64" t="s">
        <v>145</v>
      </c>
      <c r="C129" s="65">
        <v>26451</v>
      </c>
      <c r="D129" s="40" t="s">
        <v>26</v>
      </c>
      <c r="E129" s="22" t="s">
        <v>26</v>
      </c>
      <c r="F129" s="90">
        <f>119169.22+8018.13+20000</f>
        <v>147187.35</v>
      </c>
      <c r="G129" s="90">
        <v>170362.5</v>
      </c>
      <c r="H129" s="90">
        <v>170362.5</v>
      </c>
      <c r="I129" s="39"/>
    </row>
    <row r="130" spans="1:10" ht="13.5" customHeight="1" x14ac:dyDescent="0.25">
      <c r="A130" s="67"/>
      <c r="B130" s="64" t="s">
        <v>136</v>
      </c>
      <c r="C130" s="65" t="s">
        <v>163</v>
      </c>
      <c r="D130" s="40" t="s">
        <v>26</v>
      </c>
      <c r="E130" s="22">
        <v>150</v>
      </c>
      <c r="F130" s="39"/>
      <c r="G130" s="39"/>
      <c r="H130" s="39"/>
      <c r="I130" s="39"/>
    </row>
    <row r="131" spans="1:10" ht="16.5" customHeight="1" x14ac:dyDescent="0.25">
      <c r="A131" s="67" t="s">
        <v>164</v>
      </c>
      <c r="B131" s="64" t="s">
        <v>147</v>
      </c>
      <c r="C131" s="65">
        <v>26452</v>
      </c>
      <c r="D131" s="40" t="s">
        <v>26</v>
      </c>
      <c r="E131" s="22" t="s">
        <v>26</v>
      </c>
      <c r="F131" s="39"/>
      <c r="G131" s="39"/>
      <c r="H131" s="39"/>
      <c r="I131" s="39">
        <f>I132</f>
        <v>0</v>
      </c>
    </row>
    <row r="132" spans="1:10" ht="44.25" customHeight="1" x14ac:dyDescent="0.25">
      <c r="A132" s="67" t="s">
        <v>165</v>
      </c>
      <c r="B132" s="64" t="s">
        <v>166</v>
      </c>
      <c r="C132" s="65">
        <v>26500</v>
      </c>
      <c r="D132" s="40" t="s">
        <v>26</v>
      </c>
      <c r="E132" s="22" t="s">
        <v>26</v>
      </c>
      <c r="F132" s="39">
        <f>F134+F135+F136</f>
        <v>880539.42</v>
      </c>
      <c r="G132" s="39">
        <f>G134+G135+G136</f>
        <v>1318554.3700000001</v>
      </c>
      <c r="H132" s="39">
        <f>H134+H135+H136</f>
        <v>1413754.37</v>
      </c>
      <c r="I132" s="39"/>
    </row>
    <row r="133" spans="1:10" ht="19.5" customHeight="1" x14ac:dyDescent="0.25">
      <c r="A133" s="67"/>
      <c r="B133" s="64" t="s">
        <v>167</v>
      </c>
      <c r="C133" s="65">
        <v>26510</v>
      </c>
      <c r="D133" s="40" t="s">
        <v>26</v>
      </c>
      <c r="E133" s="22" t="s">
        <v>26</v>
      </c>
      <c r="F133" s="39"/>
      <c r="G133" s="39"/>
      <c r="H133" s="39"/>
      <c r="I133" s="39"/>
    </row>
    <row r="134" spans="1:10" ht="17.25" customHeight="1" x14ac:dyDescent="0.25">
      <c r="A134" s="67" t="s">
        <v>168</v>
      </c>
      <c r="B134" s="64" t="s">
        <v>169</v>
      </c>
      <c r="C134" s="65">
        <v>26520</v>
      </c>
      <c r="D134" s="40">
        <v>2023</v>
      </c>
      <c r="E134" s="22"/>
      <c r="F134" s="39">
        <f>F115</f>
        <v>880539.42</v>
      </c>
      <c r="G134" s="39"/>
      <c r="H134" s="39"/>
      <c r="I134" s="39"/>
    </row>
    <row r="135" spans="1:10" ht="14.25" customHeight="1" x14ac:dyDescent="0.25">
      <c r="A135" s="67" t="s">
        <v>170</v>
      </c>
      <c r="B135" s="64" t="s">
        <v>169</v>
      </c>
      <c r="C135" s="65">
        <v>26530</v>
      </c>
      <c r="D135" s="40">
        <v>2024</v>
      </c>
      <c r="E135" s="22"/>
      <c r="F135" s="39"/>
      <c r="G135" s="39">
        <f>G115-G134-G136</f>
        <v>1318554.3700000001</v>
      </c>
      <c r="H135" s="39"/>
      <c r="I135" s="39"/>
    </row>
    <row r="136" spans="1:10" ht="15" customHeight="1" x14ac:dyDescent="0.25">
      <c r="A136" s="67" t="s">
        <v>171</v>
      </c>
      <c r="B136" s="64" t="s">
        <v>169</v>
      </c>
      <c r="C136" s="65">
        <v>26540</v>
      </c>
      <c r="D136" s="40">
        <v>2025</v>
      </c>
      <c r="E136" s="22"/>
      <c r="F136" s="39"/>
      <c r="G136" s="39"/>
      <c r="H136" s="39">
        <f>H115</f>
        <v>1413754.37</v>
      </c>
      <c r="I136" s="39">
        <f>I137+I138</f>
        <v>0</v>
      </c>
    </row>
    <row r="137" spans="1:10" ht="44.25" customHeight="1" x14ac:dyDescent="0.25">
      <c r="A137" s="67" t="s">
        <v>172</v>
      </c>
      <c r="B137" s="64" t="s">
        <v>173</v>
      </c>
      <c r="C137" s="65">
        <v>26600</v>
      </c>
      <c r="D137" s="40" t="s">
        <v>26</v>
      </c>
      <c r="E137" s="22" t="s">
        <v>26</v>
      </c>
      <c r="F137" s="39">
        <f>F138+F139</f>
        <v>0</v>
      </c>
      <c r="G137" s="39">
        <f>G138+G139</f>
        <v>0</v>
      </c>
      <c r="H137" s="39">
        <f>H138+H139</f>
        <v>0</v>
      </c>
      <c r="I137" s="39"/>
    </row>
    <row r="138" spans="1:10" x14ac:dyDescent="0.25">
      <c r="A138" s="67"/>
      <c r="B138" s="64" t="s">
        <v>167</v>
      </c>
      <c r="C138" s="65">
        <v>26610</v>
      </c>
      <c r="D138" s="40"/>
      <c r="E138" s="22"/>
      <c r="F138" s="39"/>
      <c r="G138" s="39"/>
      <c r="H138" s="39"/>
      <c r="I138" s="39"/>
    </row>
    <row r="139" spans="1:10" x14ac:dyDescent="0.25">
      <c r="A139" s="67"/>
      <c r="B139" s="64"/>
      <c r="C139" s="40"/>
      <c r="D139" s="40"/>
      <c r="E139" s="22"/>
      <c r="F139" s="39"/>
      <c r="G139" s="39"/>
      <c r="H139" s="39"/>
      <c r="I139" s="68"/>
    </row>
    <row r="140" spans="1:10" x14ac:dyDescent="0.25">
      <c r="A140" s="69"/>
      <c r="B140" s="70"/>
      <c r="C140" s="71"/>
      <c r="D140" s="71"/>
      <c r="E140" s="71"/>
      <c r="F140" s="71"/>
      <c r="G140" s="71"/>
      <c r="H140" s="71"/>
      <c r="I140" s="19"/>
    </row>
    <row r="141" spans="1:10" ht="18.75" x14ac:dyDescent="0.3">
      <c r="A141" s="72" t="s">
        <v>185</v>
      </c>
      <c r="B141" s="73"/>
      <c r="C141" s="73"/>
      <c r="D141" s="74"/>
      <c r="E141" s="21"/>
      <c r="F141" s="75" t="s">
        <v>186</v>
      </c>
      <c r="G141" s="75"/>
      <c r="H141" s="19"/>
      <c r="I141" s="19"/>
    </row>
    <row r="142" spans="1:10" ht="18.75" x14ac:dyDescent="0.25">
      <c r="A142" s="76"/>
      <c r="B142" s="76"/>
      <c r="C142" s="76"/>
      <c r="D142" s="77" t="s">
        <v>174</v>
      </c>
      <c r="E142" s="19"/>
      <c r="F142" s="78" t="s">
        <v>175</v>
      </c>
      <c r="G142" s="79"/>
      <c r="H142" s="19"/>
      <c r="I142" s="19"/>
      <c r="J142"/>
    </row>
    <row r="143" spans="1:10" ht="18.75" x14ac:dyDescent="0.3">
      <c r="A143" s="72"/>
      <c r="B143" s="73"/>
      <c r="C143" s="73"/>
      <c r="D143" s="74"/>
      <c r="E143" s="21"/>
      <c r="F143" s="75" t="s">
        <v>176</v>
      </c>
      <c r="G143" s="75"/>
      <c r="H143" s="19"/>
      <c r="I143" s="19"/>
      <c r="J143"/>
    </row>
    <row r="144" spans="1:10" ht="18.75" x14ac:dyDescent="0.25">
      <c r="A144" s="76" t="s">
        <v>177</v>
      </c>
      <c r="B144" s="76"/>
      <c r="C144" s="76"/>
      <c r="D144" s="77" t="s">
        <v>174</v>
      </c>
      <c r="E144" s="19"/>
      <c r="F144" s="78" t="s">
        <v>175</v>
      </c>
      <c r="G144" s="79"/>
      <c r="H144" s="19"/>
      <c r="I144" s="19"/>
      <c r="J144"/>
    </row>
    <row r="145" spans="1:10" ht="18.75" x14ac:dyDescent="0.25">
      <c r="A145" s="76"/>
      <c r="B145" s="76"/>
      <c r="C145" s="76"/>
      <c r="D145" s="77"/>
      <c r="E145" s="19"/>
      <c r="F145" s="78"/>
      <c r="G145" s="78"/>
      <c r="H145" s="19"/>
      <c r="I145" s="19"/>
      <c r="J145"/>
    </row>
    <row r="146" spans="1:10" ht="17.25" customHeight="1" x14ac:dyDescent="0.3">
      <c r="A146" s="80" t="s">
        <v>187</v>
      </c>
      <c r="B146" s="80"/>
      <c r="C146" s="80"/>
      <c r="D146" s="80"/>
      <c r="E146" s="81"/>
      <c r="F146" s="81"/>
      <c r="G146" s="73"/>
      <c r="H146" s="73"/>
      <c r="I146" s="73"/>
    </row>
    <row r="147" spans="1:10" ht="18.75" hidden="1" x14ac:dyDescent="0.3">
      <c r="A147" s="120" t="s">
        <v>178</v>
      </c>
      <c r="B147" s="120"/>
      <c r="C147" s="120"/>
      <c r="D147" s="120"/>
      <c r="E147" s="120"/>
      <c r="F147" s="7"/>
      <c r="G147" s="7"/>
      <c r="H147" s="7"/>
      <c r="I147" s="5"/>
    </row>
    <row r="148" spans="1:10" hidden="1" x14ac:dyDescent="0.25">
      <c r="C148" s="5"/>
      <c r="D148" s="5"/>
      <c r="E148" s="5"/>
      <c r="F148" s="5"/>
      <c r="G148" s="5"/>
      <c r="H148" s="5"/>
      <c r="I148" s="5"/>
    </row>
    <row r="149" spans="1:10" hidden="1" x14ac:dyDescent="0.25">
      <c r="C149" s="5"/>
      <c r="D149" s="5"/>
      <c r="E149" s="5"/>
      <c r="F149" s="5"/>
      <c r="G149" s="5"/>
      <c r="H149" s="5"/>
      <c r="I149" s="5"/>
    </row>
    <row r="150" spans="1:10" hidden="1" x14ac:dyDescent="0.25">
      <c r="C150" s="5"/>
      <c r="D150" s="5"/>
      <c r="E150" s="5"/>
      <c r="F150" s="5"/>
      <c r="G150" s="5"/>
      <c r="H150" s="5"/>
      <c r="I150" s="5"/>
    </row>
    <row r="151" spans="1:10" hidden="1" x14ac:dyDescent="0.25">
      <c r="C151" s="5"/>
      <c r="D151" s="5"/>
      <c r="E151" s="5"/>
      <c r="F151" s="5"/>
      <c r="G151" s="5"/>
      <c r="H151" s="5"/>
      <c r="I151" s="5"/>
    </row>
    <row r="152" spans="1:10" hidden="1" x14ac:dyDescent="0.25">
      <c r="C152" s="5"/>
      <c r="D152" s="5"/>
      <c r="E152" s="5"/>
      <c r="F152" s="5"/>
      <c r="G152" s="5"/>
      <c r="H152" s="5"/>
      <c r="I152" s="5"/>
    </row>
    <row r="153" spans="1:10" hidden="1" x14ac:dyDescent="0.25">
      <c r="C153" s="5"/>
      <c r="D153" s="5"/>
      <c r="E153" s="5"/>
      <c r="F153" s="5"/>
      <c r="G153" s="5"/>
      <c r="H153" s="5"/>
      <c r="I153" s="5"/>
    </row>
    <row r="154" spans="1:10" hidden="1" x14ac:dyDescent="0.25">
      <c r="C154" s="5"/>
      <c r="D154" s="5"/>
      <c r="E154" s="5"/>
      <c r="F154" s="5"/>
      <c r="G154" s="5"/>
      <c r="H154" s="5"/>
      <c r="I154" s="5"/>
    </row>
    <row r="155" spans="1:10" hidden="1" x14ac:dyDescent="0.25">
      <c r="C155" s="5"/>
      <c r="D155" s="5"/>
      <c r="E155" s="5"/>
      <c r="F155" s="5"/>
      <c r="G155" s="5"/>
      <c r="H155" s="5"/>
      <c r="I155" s="5"/>
    </row>
    <row r="156" spans="1:10" hidden="1" x14ac:dyDescent="0.25">
      <c r="C156" s="5"/>
      <c r="D156" s="5"/>
      <c r="E156" s="5"/>
      <c r="F156" s="5"/>
      <c r="G156" s="5"/>
      <c r="H156" s="5"/>
      <c r="I156" s="5"/>
    </row>
    <row r="157" spans="1:10" hidden="1" x14ac:dyDescent="0.25">
      <c r="C157" s="5"/>
      <c r="D157" s="5"/>
      <c r="E157" s="5"/>
      <c r="F157" s="5"/>
      <c r="G157" s="5"/>
      <c r="H157" s="5"/>
      <c r="I157" s="5"/>
    </row>
    <row r="158" spans="1:10" hidden="1" x14ac:dyDescent="0.25">
      <c r="C158" s="5"/>
      <c r="D158" s="5"/>
      <c r="E158" s="5"/>
      <c r="F158" s="5"/>
      <c r="G158" s="5"/>
      <c r="H158" s="5"/>
      <c r="I158" s="5"/>
    </row>
    <row r="159" spans="1:10" hidden="1" x14ac:dyDescent="0.25">
      <c r="C159" s="5"/>
      <c r="D159" s="5"/>
      <c r="E159" s="5"/>
      <c r="F159" s="5"/>
      <c r="G159" s="5"/>
      <c r="H159" s="5"/>
      <c r="I159" s="5"/>
    </row>
    <row r="160" spans="1:10" hidden="1" x14ac:dyDescent="0.25">
      <c r="C160" s="5"/>
      <c r="D160" s="5"/>
      <c r="E160" s="5"/>
      <c r="F160" s="5"/>
      <c r="G160" s="5"/>
      <c r="H160" s="5"/>
      <c r="I160" s="5"/>
    </row>
    <row r="161" spans="3:9" hidden="1" x14ac:dyDescent="0.25">
      <c r="C161" s="5"/>
      <c r="D161" s="5"/>
      <c r="E161" s="5"/>
      <c r="F161" s="5"/>
      <c r="G161" s="5"/>
      <c r="H161" s="5"/>
      <c r="I161" s="5"/>
    </row>
    <row r="162" spans="3:9" x14ac:dyDescent="0.25">
      <c r="C162" s="5"/>
      <c r="D162" s="5"/>
      <c r="E162" s="5"/>
      <c r="F162" s="5"/>
      <c r="G162" s="5"/>
      <c r="H162" s="5"/>
    </row>
    <row r="163" spans="3:9" x14ac:dyDescent="0.25">
      <c r="E163" s="5"/>
    </row>
  </sheetData>
  <mergeCells count="101">
    <mergeCell ref="F5:I5"/>
    <mergeCell ref="B8:I8"/>
    <mergeCell ref="B9:I9"/>
    <mergeCell ref="B11:H11"/>
    <mergeCell ref="B13:F14"/>
    <mergeCell ref="A24:B24"/>
    <mergeCell ref="A25:B25"/>
    <mergeCell ref="A26:B26"/>
    <mergeCell ref="F2:I2"/>
    <mergeCell ref="A27:B27"/>
    <mergeCell ref="A28:B28"/>
    <mergeCell ref="A29:B29"/>
    <mergeCell ref="B16:F17"/>
    <mergeCell ref="B20:I20"/>
    <mergeCell ref="A21:B23"/>
    <mergeCell ref="C21:C23"/>
    <mergeCell ref="D21:D23"/>
    <mergeCell ref="E21:E23"/>
    <mergeCell ref="F21:I21"/>
    <mergeCell ref="I22:I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96:B96"/>
    <mergeCell ref="A97:B97"/>
    <mergeCell ref="A98:B98"/>
    <mergeCell ref="A99:B99"/>
    <mergeCell ref="A100:B100"/>
    <mergeCell ref="A102:H102"/>
    <mergeCell ref="A90:B90"/>
    <mergeCell ref="A91:B91"/>
    <mergeCell ref="A92:B92"/>
    <mergeCell ref="A93:B93"/>
    <mergeCell ref="A94:B94"/>
    <mergeCell ref="A95:B95"/>
    <mergeCell ref="A147:E147"/>
    <mergeCell ref="A104:A106"/>
    <mergeCell ref="B104:B106"/>
    <mergeCell ref="C104:C106"/>
    <mergeCell ref="D104:D106"/>
    <mergeCell ref="E104:E106"/>
    <mergeCell ref="F104:I104"/>
    <mergeCell ref="F105:F106"/>
    <mergeCell ref="I105:I106"/>
  </mergeCells>
  <pageMargins left="0.47244094488188981" right="1.1811023622047245" top="0.59055118110236227" bottom="0.39370078740157483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63"/>
  <sheetViews>
    <sheetView topLeftCell="A93" zoomScaleNormal="100" zoomScaleSheetLayoutView="100" workbookViewId="0">
      <selection activeCell="G103" sqref="G103"/>
    </sheetView>
  </sheetViews>
  <sheetFormatPr defaultColWidth="9.140625" defaultRowHeight="15.75" x14ac:dyDescent="0.25"/>
  <cols>
    <col min="1" max="1" width="7.85546875" style="3" customWidth="1"/>
    <col min="2" max="2" width="62.28515625" style="1" customWidth="1"/>
    <col min="3" max="3" width="7" style="1" customWidth="1"/>
    <col min="4" max="4" width="11.42578125" style="1" customWidth="1"/>
    <col min="5" max="5" width="11.28515625" style="1" customWidth="1"/>
    <col min="6" max="8" width="14" style="1" customWidth="1"/>
    <col min="9" max="9" width="11.7109375" style="1" customWidth="1"/>
    <col min="10" max="10" width="14.28515625" style="2" bestFit="1" customWidth="1"/>
    <col min="11" max="12" width="9.140625" style="2"/>
    <col min="13" max="13" width="29.7109375" style="2" customWidth="1"/>
    <col min="14" max="16384" width="9.140625" style="2"/>
  </cols>
  <sheetData>
    <row r="1" spans="1:9" ht="15" customHeight="1" x14ac:dyDescent="0.25">
      <c r="A1" s="18"/>
      <c r="B1" s="19"/>
      <c r="C1" s="19"/>
      <c r="D1" s="19"/>
      <c r="E1" s="19"/>
      <c r="F1" s="19"/>
      <c r="G1" s="19"/>
      <c r="H1" s="19"/>
      <c r="I1" s="96" t="s">
        <v>0</v>
      </c>
    </row>
    <row r="2" spans="1:9" ht="15" customHeight="1" x14ac:dyDescent="0.25">
      <c r="A2" s="18"/>
      <c r="B2" s="19"/>
      <c r="C2" s="19"/>
      <c r="D2" s="19"/>
      <c r="E2" s="19"/>
      <c r="F2" s="170" t="s">
        <v>1</v>
      </c>
      <c r="G2" s="170"/>
      <c r="H2" s="170"/>
      <c r="I2" s="170"/>
    </row>
    <row r="3" spans="1:9" ht="15" customHeight="1" x14ac:dyDescent="0.25">
      <c r="A3" s="18"/>
      <c r="B3" s="19"/>
      <c r="C3" s="19"/>
      <c r="D3" s="19"/>
      <c r="E3" s="19"/>
      <c r="F3" s="170"/>
      <c r="G3" s="170"/>
      <c r="H3" s="170"/>
      <c r="I3" s="170"/>
    </row>
    <row r="4" spans="1:9" ht="15" customHeight="1" x14ac:dyDescent="0.25">
      <c r="A4" s="18"/>
      <c r="B4" s="19"/>
      <c r="C4" s="19"/>
      <c r="D4" s="19"/>
      <c r="E4" s="19"/>
      <c r="F4" s="19"/>
      <c r="G4" s="19"/>
      <c r="H4" s="19"/>
      <c r="I4" s="96" t="s">
        <v>2</v>
      </c>
    </row>
    <row r="5" spans="1:9" ht="15" customHeight="1" x14ac:dyDescent="0.25">
      <c r="A5" s="18"/>
      <c r="B5" s="19"/>
      <c r="C5" s="19"/>
      <c r="D5" s="19"/>
      <c r="E5" s="19"/>
      <c r="F5" s="167" t="s">
        <v>203</v>
      </c>
      <c r="G5" s="167"/>
      <c r="H5" s="167"/>
      <c r="I5" s="167"/>
    </row>
    <row r="6" spans="1:9" ht="15" customHeight="1" x14ac:dyDescent="0.25">
      <c r="A6" s="18"/>
      <c r="B6" s="19"/>
      <c r="C6" s="19"/>
      <c r="D6" s="19"/>
      <c r="E6" s="19"/>
      <c r="F6" s="19"/>
      <c r="G6" s="19"/>
      <c r="H6" s="19"/>
      <c r="I6" s="96"/>
    </row>
    <row r="7" spans="1:9" ht="15" customHeight="1" x14ac:dyDescent="0.25">
      <c r="A7" s="18"/>
      <c r="B7" s="19"/>
      <c r="C7" s="19"/>
      <c r="D7" s="19"/>
      <c r="E7" s="19"/>
      <c r="F7" s="19"/>
      <c r="G7" s="19"/>
      <c r="H7" s="19"/>
      <c r="I7" s="19"/>
    </row>
    <row r="8" spans="1:9" ht="15" customHeight="1" x14ac:dyDescent="0.3">
      <c r="A8" s="18"/>
      <c r="B8" s="168" t="s">
        <v>197</v>
      </c>
      <c r="C8" s="168"/>
      <c r="D8" s="168"/>
      <c r="E8" s="168"/>
      <c r="F8" s="168"/>
      <c r="G8" s="168"/>
      <c r="H8" s="168"/>
      <c r="I8" s="168"/>
    </row>
    <row r="9" spans="1:9" ht="15" customHeight="1" x14ac:dyDescent="0.3">
      <c r="A9" s="18"/>
      <c r="B9" s="168" t="s">
        <v>192</v>
      </c>
      <c r="C9" s="168"/>
      <c r="D9" s="168"/>
      <c r="E9" s="168"/>
      <c r="F9" s="168"/>
      <c r="G9" s="168"/>
      <c r="H9" s="168"/>
      <c r="I9" s="168"/>
    </row>
    <row r="10" spans="1:9" ht="15" customHeight="1" x14ac:dyDescent="0.25">
      <c r="A10" s="18"/>
      <c r="B10" s="19"/>
      <c r="C10" s="19"/>
      <c r="D10" s="19"/>
      <c r="E10" s="19"/>
      <c r="F10" s="19"/>
      <c r="G10" s="19"/>
      <c r="H10" s="19"/>
      <c r="I10" s="21"/>
    </row>
    <row r="11" spans="1:9" ht="15" customHeight="1" x14ac:dyDescent="0.25">
      <c r="A11" s="18"/>
      <c r="B11" s="169" t="s">
        <v>204</v>
      </c>
      <c r="C11" s="169"/>
      <c r="D11" s="169"/>
      <c r="E11" s="169"/>
      <c r="F11" s="169"/>
      <c r="G11" s="169"/>
      <c r="H11" s="169"/>
      <c r="I11" s="22" t="s">
        <v>4</v>
      </c>
    </row>
    <row r="12" spans="1:9" ht="15" customHeight="1" x14ac:dyDescent="0.25">
      <c r="A12" s="18"/>
      <c r="B12" s="19"/>
      <c r="C12" s="19"/>
      <c r="D12" s="19"/>
      <c r="E12" s="19"/>
      <c r="F12" s="19"/>
      <c r="G12" s="19"/>
      <c r="H12" s="23" t="s">
        <v>5</v>
      </c>
      <c r="I12" s="24">
        <v>45084</v>
      </c>
    </row>
    <row r="13" spans="1:9" ht="15" customHeight="1" x14ac:dyDescent="0.25">
      <c r="A13" s="18"/>
      <c r="B13" s="154" t="s">
        <v>6</v>
      </c>
      <c r="C13" s="154"/>
      <c r="D13" s="154"/>
      <c r="E13" s="154"/>
      <c r="F13" s="154"/>
      <c r="G13" s="19"/>
      <c r="H13" s="23" t="s">
        <v>7</v>
      </c>
      <c r="I13" s="22"/>
    </row>
    <row r="14" spans="1:9" ht="15" customHeight="1" x14ac:dyDescent="0.25">
      <c r="A14" s="18"/>
      <c r="B14" s="154"/>
      <c r="C14" s="154"/>
      <c r="D14" s="154"/>
      <c r="E14" s="154"/>
      <c r="F14" s="154"/>
      <c r="G14" s="25"/>
      <c r="H14" s="26" t="s">
        <v>8</v>
      </c>
      <c r="I14" s="27">
        <v>925</v>
      </c>
    </row>
    <row r="15" spans="1:9" ht="15" customHeight="1" x14ac:dyDescent="0.25">
      <c r="A15" s="18"/>
      <c r="B15" s="19"/>
      <c r="C15" s="19"/>
      <c r="D15" s="19"/>
      <c r="E15" s="19"/>
      <c r="F15" s="19"/>
      <c r="G15" s="19"/>
      <c r="H15" s="23" t="s">
        <v>7</v>
      </c>
      <c r="I15" s="22"/>
    </row>
    <row r="16" spans="1:9" ht="15" customHeight="1" x14ac:dyDescent="0.25">
      <c r="A16" s="18"/>
      <c r="B16" s="154" t="s">
        <v>184</v>
      </c>
      <c r="C16" s="154"/>
      <c r="D16" s="154"/>
      <c r="E16" s="154"/>
      <c r="F16" s="154"/>
      <c r="G16" s="25"/>
      <c r="H16" s="23" t="s">
        <v>9</v>
      </c>
      <c r="I16" s="22">
        <v>2329020879</v>
      </c>
    </row>
    <row r="17" spans="1:9" ht="15" customHeight="1" x14ac:dyDescent="0.25">
      <c r="A17" s="18"/>
      <c r="B17" s="154"/>
      <c r="C17" s="154"/>
      <c r="D17" s="154"/>
      <c r="E17" s="154"/>
      <c r="F17" s="154"/>
      <c r="G17" s="19"/>
      <c r="H17" s="23" t="s">
        <v>10</v>
      </c>
      <c r="I17" s="22">
        <v>232901001</v>
      </c>
    </row>
    <row r="18" spans="1:9" ht="15" customHeight="1" x14ac:dyDescent="0.25">
      <c r="A18" s="18"/>
      <c r="B18" s="19" t="s">
        <v>11</v>
      </c>
      <c r="C18" s="19"/>
      <c r="D18" s="19"/>
      <c r="E18" s="19"/>
      <c r="F18" s="19"/>
      <c r="G18" s="19"/>
      <c r="H18" s="23" t="s">
        <v>12</v>
      </c>
      <c r="I18" s="22">
        <v>383</v>
      </c>
    </row>
    <row r="19" spans="1:9" ht="15" customHeight="1" x14ac:dyDescent="0.25">
      <c r="A19" s="18"/>
      <c r="B19" s="19"/>
      <c r="C19" s="19"/>
      <c r="D19" s="19"/>
      <c r="E19" s="19"/>
      <c r="F19" s="19"/>
      <c r="G19" s="19"/>
      <c r="H19" s="23"/>
      <c r="I19" s="28"/>
    </row>
    <row r="20" spans="1:9" ht="15" customHeight="1" x14ac:dyDescent="0.25">
      <c r="A20" s="18"/>
      <c r="B20" s="155" t="s">
        <v>13</v>
      </c>
      <c r="C20" s="155"/>
      <c r="D20" s="155"/>
      <c r="E20" s="155"/>
      <c r="F20" s="155"/>
      <c r="G20" s="155"/>
      <c r="H20" s="155"/>
      <c r="I20" s="155"/>
    </row>
    <row r="21" spans="1:9" s="4" customFormat="1" ht="13.5" customHeight="1" x14ac:dyDescent="0.25">
      <c r="A21" s="156" t="s">
        <v>14</v>
      </c>
      <c r="B21" s="157"/>
      <c r="C21" s="130" t="s">
        <v>15</v>
      </c>
      <c r="D21" s="130" t="s">
        <v>16</v>
      </c>
      <c r="E21" s="130" t="s">
        <v>17</v>
      </c>
      <c r="F21" s="163" t="s">
        <v>18</v>
      </c>
      <c r="G21" s="164"/>
      <c r="H21" s="164"/>
      <c r="I21" s="165"/>
    </row>
    <row r="22" spans="1:9" s="4" customFormat="1" ht="15" customHeight="1" x14ac:dyDescent="0.25">
      <c r="A22" s="158"/>
      <c r="B22" s="159"/>
      <c r="C22" s="162"/>
      <c r="D22" s="162"/>
      <c r="E22" s="162"/>
      <c r="F22" s="97" t="s">
        <v>19</v>
      </c>
      <c r="G22" s="97" t="s">
        <v>179</v>
      </c>
      <c r="H22" s="97" t="s">
        <v>193</v>
      </c>
      <c r="I22" s="130" t="s">
        <v>20</v>
      </c>
    </row>
    <row r="23" spans="1:9" s="4" customFormat="1" ht="60" customHeight="1" x14ac:dyDescent="0.25">
      <c r="A23" s="160"/>
      <c r="B23" s="161"/>
      <c r="C23" s="131"/>
      <c r="D23" s="131"/>
      <c r="E23" s="131"/>
      <c r="F23" s="97" t="s">
        <v>21</v>
      </c>
      <c r="G23" s="97" t="s">
        <v>22</v>
      </c>
      <c r="H23" s="97" t="s">
        <v>23</v>
      </c>
      <c r="I23" s="131"/>
    </row>
    <row r="24" spans="1:9" s="4" customFormat="1" ht="12.75" customHeight="1" x14ac:dyDescent="0.25">
      <c r="A24" s="153">
        <v>1</v>
      </c>
      <c r="B24" s="153"/>
      <c r="C24" s="98">
        <v>2</v>
      </c>
      <c r="D24" s="98">
        <v>3</v>
      </c>
      <c r="E24" s="98">
        <v>4</v>
      </c>
      <c r="F24" s="97">
        <v>5</v>
      </c>
      <c r="G24" s="97">
        <v>6</v>
      </c>
      <c r="H24" s="97">
        <v>7</v>
      </c>
      <c r="I24" s="98">
        <v>8</v>
      </c>
    </row>
    <row r="25" spans="1:9" s="4" customFormat="1" ht="15" customHeight="1" x14ac:dyDescent="0.25">
      <c r="A25" s="148" t="s">
        <v>24</v>
      </c>
      <c r="B25" s="148"/>
      <c r="C25" s="32" t="s">
        <v>25</v>
      </c>
      <c r="D25" s="32" t="s">
        <v>26</v>
      </c>
      <c r="E25" s="97" t="s">
        <v>26</v>
      </c>
      <c r="F25" s="89">
        <f>180978.76+5255.14</f>
        <v>186233.90000000002</v>
      </c>
      <c r="G25" s="33">
        <v>0</v>
      </c>
      <c r="H25" s="33">
        <v>0</v>
      </c>
      <c r="I25" s="33">
        <v>0</v>
      </c>
    </row>
    <row r="26" spans="1:9" s="4" customFormat="1" ht="15" customHeight="1" x14ac:dyDescent="0.25">
      <c r="A26" s="148" t="s">
        <v>27</v>
      </c>
      <c r="B26" s="148"/>
      <c r="C26" s="32" t="s">
        <v>28</v>
      </c>
      <c r="D26" s="32" t="s">
        <v>26</v>
      </c>
      <c r="E26" s="97" t="s">
        <v>26</v>
      </c>
      <c r="F26" s="33">
        <f>F27+F25-F48-F99+F95</f>
        <v>0</v>
      </c>
      <c r="G26" s="33">
        <f>G27+G25-G48-G99+G95</f>
        <v>0</v>
      </c>
      <c r="H26" s="33">
        <f>H27+H25-H48-H99+H95</f>
        <v>9.3132257461547852E-10</v>
      </c>
      <c r="I26" s="33">
        <v>0</v>
      </c>
    </row>
    <row r="27" spans="1:9" s="4" customFormat="1" ht="15" customHeight="1" x14ac:dyDescent="0.2">
      <c r="A27" s="145" t="s">
        <v>29</v>
      </c>
      <c r="B27" s="145"/>
      <c r="C27" s="34" t="s">
        <v>30</v>
      </c>
      <c r="D27" s="35"/>
      <c r="E27" s="36">
        <v>100</v>
      </c>
      <c r="F27" s="37">
        <f>F28+F29+F33+F34+F45+F46+F42</f>
        <v>4509434.07</v>
      </c>
      <c r="G27" s="37">
        <f>G28+G29+G33+G34+G45+G46+G42</f>
        <v>4544323.7700000005</v>
      </c>
      <c r="H27" s="37">
        <f>H28+H29+H33+H45+H46+H42</f>
        <v>4639523.7700000005</v>
      </c>
      <c r="I27" s="37">
        <f>I28+I29+I33+I34+I44+I45</f>
        <v>0</v>
      </c>
    </row>
    <row r="28" spans="1:9" s="4" customFormat="1" ht="26.25" customHeight="1" x14ac:dyDescent="0.25">
      <c r="A28" s="148" t="s">
        <v>31</v>
      </c>
      <c r="B28" s="148"/>
      <c r="C28" s="38" t="s">
        <v>32</v>
      </c>
      <c r="D28" s="32" t="s">
        <v>33</v>
      </c>
      <c r="E28" s="97"/>
      <c r="F28" s="33"/>
      <c r="G28" s="33"/>
      <c r="H28" s="33"/>
      <c r="I28" s="33"/>
    </row>
    <row r="29" spans="1:9" s="4" customFormat="1" ht="15" customHeight="1" x14ac:dyDescent="0.25">
      <c r="A29" s="148" t="s">
        <v>34</v>
      </c>
      <c r="B29" s="148"/>
      <c r="C29" s="32" t="s">
        <v>35</v>
      </c>
      <c r="D29" s="32" t="s">
        <v>36</v>
      </c>
      <c r="E29" s="97">
        <v>131</v>
      </c>
      <c r="F29" s="33">
        <f>F30+F32+F43+F45</f>
        <v>4095534.0700000003</v>
      </c>
      <c r="G29" s="33">
        <f>G30+G32+G43+G45</f>
        <v>4051223.7700000005</v>
      </c>
      <c r="H29" s="33">
        <f>H30+H32+H43+H45+H35</f>
        <v>4639523.7700000005</v>
      </c>
      <c r="I29" s="33">
        <f t="shared" ref="I29" si="0">SUM(I30:I32)</f>
        <v>0</v>
      </c>
    </row>
    <row r="30" spans="1:9" s="4" customFormat="1" ht="61.5" customHeight="1" x14ac:dyDescent="0.25">
      <c r="A30" s="148" t="s">
        <v>37</v>
      </c>
      <c r="B30" s="148"/>
      <c r="C30" s="32" t="s">
        <v>38</v>
      </c>
      <c r="D30" s="32" t="s">
        <v>36</v>
      </c>
      <c r="E30" s="97"/>
      <c r="F30" s="89">
        <f>2184433.1+1521494.77+172500+160796.99+13677+11750.71-172500+30500</f>
        <v>3922652.5700000003</v>
      </c>
      <c r="G30" s="89">
        <f>3927840.37-170362.5+111449.66+11933.74</f>
        <v>3880861.2700000005</v>
      </c>
      <c r="H30" s="89">
        <f>3969440.37-170362.5+111449.66+11933.74</f>
        <v>3922461.2700000005</v>
      </c>
      <c r="I30" s="33"/>
    </row>
    <row r="31" spans="1:9" s="4" customFormat="1" ht="48" customHeight="1" x14ac:dyDescent="0.25">
      <c r="A31" s="148" t="s">
        <v>39</v>
      </c>
      <c r="B31" s="148"/>
      <c r="C31" s="32" t="s">
        <v>40</v>
      </c>
      <c r="D31" s="32" t="s">
        <v>36</v>
      </c>
      <c r="E31" s="97"/>
      <c r="F31" s="33"/>
      <c r="G31" s="33"/>
      <c r="H31" s="33"/>
      <c r="I31" s="33"/>
    </row>
    <row r="32" spans="1:9" s="4" customFormat="1" ht="47.25" customHeight="1" x14ac:dyDescent="0.25">
      <c r="A32" s="148" t="s">
        <v>41</v>
      </c>
      <c r="B32" s="148"/>
      <c r="C32" s="32" t="s">
        <v>42</v>
      </c>
      <c r="D32" s="32" t="s">
        <v>36</v>
      </c>
      <c r="E32" s="97"/>
      <c r="F32" s="89">
        <f>170362.5+1013+1506</f>
        <v>172881.5</v>
      </c>
      <c r="G32" s="89">
        <v>170362.5</v>
      </c>
      <c r="H32" s="89">
        <v>170362.5</v>
      </c>
      <c r="I32" s="33"/>
    </row>
    <row r="33" spans="1:9" s="4" customFormat="1" ht="15" customHeight="1" x14ac:dyDescent="0.25">
      <c r="A33" s="148" t="s">
        <v>43</v>
      </c>
      <c r="B33" s="148"/>
      <c r="C33" s="32" t="s">
        <v>44</v>
      </c>
      <c r="D33" s="32" t="s">
        <v>45</v>
      </c>
      <c r="E33" s="97"/>
      <c r="F33" s="33"/>
      <c r="G33" s="33"/>
      <c r="H33" s="33"/>
      <c r="I33" s="33"/>
    </row>
    <row r="34" spans="1:9" s="4" customFormat="1" ht="15" customHeight="1" x14ac:dyDescent="0.25">
      <c r="A34" s="148" t="s">
        <v>46</v>
      </c>
      <c r="B34" s="148"/>
      <c r="C34" s="32" t="s">
        <v>47</v>
      </c>
      <c r="D34" s="32" t="s">
        <v>48</v>
      </c>
      <c r="E34" s="97"/>
      <c r="F34" s="33">
        <f>F35</f>
        <v>413900</v>
      </c>
      <c r="G34" s="33">
        <f>G35</f>
        <v>493100</v>
      </c>
      <c r="H34" s="33">
        <f>H35</f>
        <v>546700</v>
      </c>
      <c r="I34" s="33"/>
    </row>
    <row r="35" spans="1:9" s="4" customFormat="1" ht="15" customHeight="1" x14ac:dyDescent="0.25">
      <c r="A35" s="148" t="s">
        <v>49</v>
      </c>
      <c r="B35" s="148"/>
      <c r="C35" s="32" t="s">
        <v>50</v>
      </c>
      <c r="D35" s="32" t="s">
        <v>48</v>
      </c>
      <c r="E35" s="97"/>
      <c r="F35" s="33">
        <f>SUM(F36:F40)</f>
        <v>413900</v>
      </c>
      <c r="G35" s="33">
        <f>SUM(G36:G40)</f>
        <v>493100</v>
      </c>
      <c r="H35" s="33">
        <f>SUM(H36:H40)</f>
        <v>546700</v>
      </c>
      <c r="I35" s="33"/>
    </row>
    <row r="36" spans="1:9" s="4" customFormat="1" ht="27" customHeight="1" x14ac:dyDescent="0.25">
      <c r="A36" s="149" t="s">
        <v>195</v>
      </c>
      <c r="B36" s="150"/>
      <c r="C36" s="32"/>
      <c r="D36" s="32"/>
      <c r="E36" s="97"/>
      <c r="F36" s="89">
        <f>246900-10000</f>
        <v>236900</v>
      </c>
      <c r="G36" s="89">
        <v>236900</v>
      </c>
      <c r="H36" s="89">
        <v>236900</v>
      </c>
      <c r="I36" s="33"/>
    </row>
    <row r="37" spans="1:9" s="4" customFormat="1" ht="26.25" customHeight="1" x14ac:dyDescent="0.25">
      <c r="A37" s="151" t="s">
        <v>196</v>
      </c>
      <c r="B37" s="152"/>
      <c r="C37" s="32"/>
      <c r="D37" s="32"/>
      <c r="E37" s="97"/>
      <c r="F37" s="89">
        <v>10000</v>
      </c>
      <c r="G37" s="89">
        <v>10000</v>
      </c>
      <c r="H37" s="89">
        <v>10000</v>
      </c>
      <c r="I37" s="33"/>
    </row>
    <row r="38" spans="1:9" s="4" customFormat="1" ht="35.25" customHeight="1" x14ac:dyDescent="0.25">
      <c r="A38" s="148" t="s">
        <v>183</v>
      </c>
      <c r="B38" s="148"/>
      <c r="C38" s="32"/>
      <c r="D38" s="32"/>
      <c r="E38" s="97"/>
      <c r="F38" s="89">
        <v>23700</v>
      </c>
      <c r="G38" s="89">
        <v>23700</v>
      </c>
      <c r="H38" s="89">
        <v>23700</v>
      </c>
      <c r="I38" s="33"/>
    </row>
    <row r="39" spans="1:9" s="4" customFormat="1" ht="39" customHeight="1" x14ac:dyDescent="0.25">
      <c r="A39" s="148" t="s">
        <v>180</v>
      </c>
      <c r="B39" s="148"/>
      <c r="C39" s="32"/>
      <c r="D39" s="32"/>
      <c r="E39" s="97"/>
      <c r="F39" s="89">
        <v>70700</v>
      </c>
      <c r="G39" s="89">
        <v>70700</v>
      </c>
      <c r="H39" s="89">
        <v>70700</v>
      </c>
      <c r="I39" s="33"/>
    </row>
    <row r="40" spans="1:9" s="4" customFormat="1" ht="42" customHeight="1" x14ac:dyDescent="0.25">
      <c r="A40" s="148" t="s">
        <v>181</v>
      </c>
      <c r="B40" s="148"/>
      <c r="C40" s="32"/>
      <c r="D40" s="32"/>
      <c r="E40" s="97"/>
      <c r="F40" s="89">
        <f>32300+32300+8000</f>
        <v>72600</v>
      </c>
      <c r="G40" s="89">
        <v>151800</v>
      </c>
      <c r="H40" s="89">
        <v>205400</v>
      </c>
      <c r="I40" s="33"/>
    </row>
    <row r="41" spans="1:9" s="4" customFormat="1" ht="19.5" customHeight="1" x14ac:dyDescent="0.25">
      <c r="A41" s="148" t="s">
        <v>51</v>
      </c>
      <c r="B41" s="148"/>
      <c r="C41" s="32" t="s">
        <v>52</v>
      </c>
      <c r="D41" s="32" t="s">
        <v>48</v>
      </c>
      <c r="E41" s="97"/>
      <c r="F41" s="33"/>
      <c r="G41" s="33"/>
      <c r="H41" s="33"/>
      <c r="I41" s="33"/>
    </row>
    <row r="42" spans="1:9" s="4" customFormat="1" ht="43.5" customHeight="1" x14ac:dyDescent="0.25">
      <c r="A42" s="146" t="s">
        <v>53</v>
      </c>
      <c r="B42" s="147"/>
      <c r="C42" s="32" t="s">
        <v>54</v>
      </c>
      <c r="D42" s="32" t="s">
        <v>48</v>
      </c>
      <c r="E42" s="97"/>
      <c r="F42" s="33"/>
      <c r="G42" s="33"/>
      <c r="H42" s="33"/>
      <c r="I42" s="33"/>
    </row>
    <row r="43" spans="1:9" s="4" customFormat="1" ht="15" customHeight="1" x14ac:dyDescent="0.25">
      <c r="A43" s="148" t="s">
        <v>55</v>
      </c>
      <c r="B43" s="148"/>
      <c r="C43" s="32" t="s">
        <v>56</v>
      </c>
      <c r="D43" s="32" t="s">
        <v>57</v>
      </c>
      <c r="E43" s="97"/>
      <c r="F43" s="33"/>
      <c r="G43" s="33"/>
      <c r="H43" s="33"/>
      <c r="I43" s="33"/>
    </row>
    <row r="44" spans="1:9" s="4" customFormat="1" ht="15" customHeight="1" x14ac:dyDescent="0.25">
      <c r="A44" s="146" t="s">
        <v>58</v>
      </c>
      <c r="B44" s="147"/>
      <c r="C44" s="32"/>
      <c r="D44" s="32"/>
      <c r="E44" s="97"/>
      <c r="F44" s="33"/>
      <c r="G44" s="33"/>
      <c r="H44" s="33"/>
      <c r="I44" s="33"/>
    </row>
    <row r="45" spans="1:9" s="4" customFormat="1" ht="15" customHeight="1" x14ac:dyDescent="0.25">
      <c r="A45" s="148" t="s">
        <v>59</v>
      </c>
      <c r="B45" s="148"/>
      <c r="C45" s="32" t="s">
        <v>60</v>
      </c>
      <c r="D45" s="32" t="s">
        <v>61</v>
      </c>
      <c r="E45" s="97"/>
      <c r="F45" s="33"/>
      <c r="G45" s="33"/>
      <c r="H45" s="33"/>
      <c r="I45" s="33"/>
    </row>
    <row r="46" spans="1:9" s="4" customFormat="1" ht="17.25" customHeight="1" x14ac:dyDescent="0.25">
      <c r="A46" s="148" t="s">
        <v>62</v>
      </c>
      <c r="B46" s="148"/>
      <c r="C46" s="32" t="s">
        <v>63</v>
      </c>
      <c r="D46" s="32" t="s">
        <v>26</v>
      </c>
      <c r="E46" s="97"/>
      <c r="F46" s="33"/>
      <c r="G46" s="33"/>
      <c r="H46" s="33"/>
      <c r="I46" s="33" t="s">
        <v>26</v>
      </c>
    </row>
    <row r="47" spans="1:9" s="4" customFormat="1" ht="42" customHeight="1" x14ac:dyDescent="0.25">
      <c r="A47" s="148" t="s">
        <v>64</v>
      </c>
      <c r="B47" s="148"/>
      <c r="C47" s="32" t="s">
        <v>65</v>
      </c>
      <c r="D47" s="32" t="s">
        <v>66</v>
      </c>
      <c r="E47" s="97"/>
      <c r="F47" s="33"/>
      <c r="G47" s="33"/>
      <c r="H47" s="33"/>
      <c r="I47" s="37"/>
    </row>
    <row r="48" spans="1:9" s="4" customFormat="1" ht="30" customHeight="1" x14ac:dyDescent="0.25">
      <c r="A48" s="145" t="s">
        <v>67</v>
      </c>
      <c r="B48" s="145"/>
      <c r="C48" s="35" t="s">
        <v>68</v>
      </c>
      <c r="D48" s="35" t="s">
        <v>26</v>
      </c>
      <c r="E48" s="36">
        <v>200</v>
      </c>
      <c r="F48" s="37">
        <f>F49+F59+F66+F70+F77+F79</f>
        <v>4693148.9700000007</v>
      </c>
      <c r="G48" s="37">
        <f>G49+G59+G66+G70+G77+G79</f>
        <v>4544323.7700000005</v>
      </c>
      <c r="H48" s="37">
        <f>H49+H59+H66+H70+H77+H79</f>
        <v>4639523.7699999996</v>
      </c>
      <c r="I48" s="39" t="s">
        <v>26</v>
      </c>
    </row>
    <row r="49" spans="1:9" s="4" customFormat="1" ht="25.5" customHeight="1" x14ac:dyDescent="0.25">
      <c r="A49" s="143" t="s">
        <v>69</v>
      </c>
      <c r="B49" s="143"/>
      <c r="C49" s="40">
        <v>2100</v>
      </c>
      <c r="D49" s="35" t="s">
        <v>26</v>
      </c>
      <c r="E49" s="40">
        <v>210</v>
      </c>
      <c r="F49" s="39">
        <f>F50+F51+F52+F53+F54+F55+F56</f>
        <v>3241673.7</v>
      </c>
      <c r="G49" s="39">
        <f>G50+G51+G52+G53+G54+G55+G56</f>
        <v>3193009.4000000004</v>
      </c>
      <c r="H49" s="39">
        <f>H50+H51+H52+H53+H54+H55+H56</f>
        <v>3193009.4</v>
      </c>
      <c r="I49" s="39" t="s">
        <v>26</v>
      </c>
    </row>
    <row r="50" spans="1:9" s="4" customFormat="1" ht="30" customHeight="1" x14ac:dyDescent="0.25">
      <c r="A50" s="144" t="s">
        <v>70</v>
      </c>
      <c r="B50" s="144"/>
      <c r="C50" s="40">
        <v>2110</v>
      </c>
      <c r="D50" s="40">
        <v>111</v>
      </c>
      <c r="E50" s="40">
        <v>211</v>
      </c>
      <c r="F50" s="90">
        <f>1023246+1152426.81+84754.22+97196.62-603.62+785.91-384.02+1159.75+123499.99+9025.12+2319.51</f>
        <v>2493426.2900000005</v>
      </c>
      <c r="G50" s="90">
        <f>1023246+1152426.81+84754.22+97196.62+85598.82+9165.7</f>
        <v>2452388.1700000004</v>
      </c>
      <c r="H50" s="90">
        <f>2357623.65+85598.82+9165.7</f>
        <v>2452388.17</v>
      </c>
      <c r="I50" s="39" t="s">
        <v>26</v>
      </c>
    </row>
    <row r="51" spans="1:9" s="4" customFormat="1" ht="23.25" customHeight="1" x14ac:dyDescent="0.25">
      <c r="A51" s="144" t="s">
        <v>71</v>
      </c>
      <c r="B51" s="144"/>
      <c r="C51" s="40">
        <v>2120</v>
      </c>
      <c r="D51" s="40">
        <v>112</v>
      </c>
      <c r="E51" s="40">
        <v>266</v>
      </c>
      <c r="F51" s="39"/>
      <c r="G51" s="39"/>
      <c r="H51" s="39"/>
      <c r="I51" s="39" t="s">
        <v>26</v>
      </c>
    </row>
    <row r="52" spans="1:9" s="4" customFormat="1" ht="31.5" customHeight="1" x14ac:dyDescent="0.25">
      <c r="A52" s="144" t="s">
        <v>72</v>
      </c>
      <c r="B52" s="144"/>
      <c r="C52" s="40">
        <v>2130</v>
      </c>
      <c r="D52" s="40">
        <v>113</v>
      </c>
      <c r="E52" s="40">
        <v>226</v>
      </c>
      <c r="F52" s="39"/>
      <c r="G52" s="39"/>
      <c r="H52" s="39"/>
      <c r="I52" s="39" t="s">
        <v>26</v>
      </c>
    </row>
    <row r="53" spans="1:9" s="4" customFormat="1" ht="34.5" customHeight="1" x14ac:dyDescent="0.25">
      <c r="A53" s="144" t="s">
        <v>73</v>
      </c>
      <c r="B53" s="144"/>
      <c r="C53" s="40">
        <v>2140</v>
      </c>
      <c r="D53" s="40">
        <v>119</v>
      </c>
      <c r="E53" s="40">
        <v>213</v>
      </c>
      <c r="F53" s="90">
        <f>309020.29+348032.9+25595.78+29353.38-182.29-115.98-1159.75+37297+2725.59-2319.51</f>
        <v>748247.40999999992</v>
      </c>
      <c r="G53" s="90">
        <f>25595.78+29353.38+309020.29+348032.9+25850.84+2768.04</f>
        <v>740621.23</v>
      </c>
      <c r="H53" s="90">
        <f>712002.35+25850.84+2768.04</f>
        <v>740621.23</v>
      </c>
      <c r="I53" s="39" t="s">
        <v>26</v>
      </c>
    </row>
    <row r="54" spans="1:9" s="4" customFormat="1" ht="29.25" customHeight="1" x14ac:dyDescent="0.25">
      <c r="A54" s="144" t="s">
        <v>74</v>
      </c>
      <c r="B54" s="144"/>
      <c r="C54" s="40">
        <v>2150</v>
      </c>
      <c r="D54" s="40">
        <v>131</v>
      </c>
      <c r="E54" s="40"/>
      <c r="F54" s="39"/>
      <c r="G54" s="39"/>
      <c r="H54" s="39"/>
      <c r="I54" s="39" t="s">
        <v>26</v>
      </c>
    </row>
    <row r="55" spans="1:9" s="4" customFormat="1" ht="29.25" customHeight="1" x14ac:dyDescent="0.25">
      <c r="A55" s="144" t="s">
        <v>75</v>
      </c>
      <c r="B55" s="144"/>
      <c r="C55" s="40">
        <v>2170</v>
      </c>
      <c r="D55" s="40">
        <v>134</v>
      </c>
      <c r="E55" s="40"/>
      <c r="F55" s="39"/>
      <c r="G55" s="39"/>
      <c r="H55" s="39"/>
      <c r="I55" s="39" t="s">
        <v>26</v>
      </c>
    </row>
    <row r="56" spans="1:9" s="4" customFormat="1" ht="32.25" customHeight="1" x14ac:dyDescent="0.25">
      <c r="A56" s="144" t="s">
        <v>76</v>
      </c>
      <c r="B56" s="144"/>
      <c r="C56" s="40">
        <v>2180</v>
      </c>
      <c r="D56" s="40">
        <v>139</v>
      </c>
      <c r="E56" s="40"/>
      <c r="F56" s="39">
        <f>F57+F58</f>
        <v>0</v>
      </c>
      <c r="G56" s="39">
        <f t="shared" ref="G56:H56" si="1">G57+G58</f>
        <v>0</v>
      </c>
      <c r="H56" s="39">
        <f t="shared" si="1"/>
        <v>0</v>
      </c>
      <c r="I56" s="39" t="s">
        <v>26</v>
      </c>
    </row>
    <row r="57" spans="1:9" s="4" customFormat="1" ht="30" customHeight="1" x14ac:dyDescent="0.25">
      <c r="A57" s="143" t="s">
        <v>77</v>
      </c>
      <c r="B57" s="143"/>
      <c r="C57" s="40">
        <v>2181</v>
      </c>
      <c r="D57" s="40">
        <v>139</v>
      </c>
      <c r="E57" s="40"/>
      <c r="F57" s="39"/>
      <c r="G57" s="39"/>
      <c r="H57" s="39"/>
      <c r="I57" s="39" t="s">
        <v>26</v>
      </c>
    </row>
    <row r="58" spans="1:9" s="4" customFormat="1" ht="16.5" customHeight="1" x14ac:dyDescent="0.25">
      <c r="A58" s="143" t="s">
        <v>78</v>
      </c>
      <c r="B58" s="143"/>
      <c r="C58" s="40">
        <v>2172</v>
      </c>
      <c r="D58" s="40">
        <v>139</v>
      </c>
      <c r="E58" s="40"/>
      <c r="F58" s="39"/>
      <c r="G58" s="39"/>
      <c r="H58" s="39"/>
      <c r="I58" s="39" t="s">
        <v>26</v>
      </c>
    </row>
    <row r="59" spans="1:9" s="4" customFormat="1" ht="17.25" customHeight="1" x14ac:dyDescent="0.25">
      <c r="A59" s="143" t="s">
        <v>79</v>
      </c>
      <c r="B59" s="143"/>
      <c r="C59" s="40">
        <v>2200</v>
      </c>
      <c r="D59" s="40">
        <v>300</v>
      </c>
      <c r="E59" s="40"/>
      <c r="F59" s="39">
        <f>F60+F63+F64+F65</f>
        <v>23700</v>
      </c>
      <c r="G59" s="39">
        <f>G60+G63+G64+G65</f>
        <v>23700</v>
      </c>
      <c r="H59" s="39">
        <f>H60+H63+H64+H65</f>
        <v>23700</v>
      </c>
      <c r="I59" s="39" t="s">
        <v>26</v>
      </c>
    </row>
    <row r="60" spans="1:9" s="4" customFormat="1" ht="45" customHeight="1" x14ac:dyDescent="0.25">
      <c r="A60" s="143" t="s">
        <v>80</v>
      </c>
      <c r="B60" s="143"/>
      <c r="C60" s="40">
        <v>2210</v>
      </c>
      <c r="D60" s="40">
        <v>320</v>
      </c>
      <c r="E60" s="40"/>
      <c r="F60" s="39">
        <f>SUM(F61:F62)</f>
        <v>23700</v>
      </c>
      <c r="G60" s="39">
        <f t="shared" ref="G60:H60" si="2">SUM(G61:G62)</f>
        <v>23700</v>
      </c>
      <c r="H60" s="39">
        <f t="shared" si="2"/>
        <v>23700</v>
      </c>
      <c r="I60" s="39" t="s">
        <v>26</v>
      </c>
    </row>
    <row r="61" spans="1:9" s="4" customFormat="1" ht="43.5" customHeight="1" x14ac:dyDescent="0.25">
      <c r="A61" s="143" t="s">
        <v>81</v>
      </c>
      <c r="B61" s="143"/>
      <c r="C61" s="40">
        <v>2211</v>
      </c>
      <c r="D61" s="40">
        <v>321</v>
      </c>
      <c r="E61" s="40">
        <v>267</v>
      </c>
      <c r="F61" s="90">
        <v>23700</v>
      </c>
      <c r="G61" s="90">
        <v>23700</v>
      </c>
      <c r="H61" s="90">
        <v>23700</v>
      </c>
      <c r="I61" s="39"/>
    </row>
    <row r="62" spans="1:9" s="4" customFormat="1" ht="30.75" customHeight="1" x14ac:dyDescent="0.25">
      <c r="A62" s="143" t="s">
        <v>82</v>
      </c>
      <c r="B62" s="143"/>
      <c r="C62" s="40">
        <v>2212</v>
      </c>
      <c r="D62" s="40">
        <v>321</v>
      </c>
      <c r="E62" s="40">
        <v>263</v>
      </c>
      <c r="F62" s="39"/>
      <c r="G62" s="39"/>
      <c r="H62" s="39"/>
      <c r="I62" s="39" t="s">
        <v>26</v>
      </c>
    </row>
    <row r="63" spans="1:9" s="4" customFormat="1" ht="33" customHeight="1" x14ac:dyDescent="0.25">
      <c r="A63" s="143" t="s">
        <v>83</v>
      </c>
      <c r="B63" s="143"/>
      <c r="C63" s="40">
        <v>2220</v>
      </c>
      <c r="D63" s="40">
        <v>340</v>
      </c>
      <c r="E63" s="40"/>
      <c r="F63" s="39"/>
      <c r="G63" s="39"/>
      <c r="H63" s="39"/>
      <c r="I63" s="39" t="s">
        <v>26</v>
      </c>
    </row>
    <row r="64" spans="1:9" s="4" customFormat="1" ht="13.5" customHeight="1" x14ac:dyDescent="0.25">
      <c r="A64" s="143" t="s">
        <v>84</v>
      </c>
      <c r="B64" s="143"/>
      <c r="C64" s="40">
        <v>2230</v>
      </c>
      <c r="D64" s="40">
        <v>350</v>
      </c>
      <c r="E64" s="40"/>
      <c r="F64" s="39"/>
      <c r="G64" s="39"/>
      <c r="H64" s="39"/>
      <c r="I64" s="39" t="s">
        <v>26</v>
      </c>
    </row>
    <row r="65" spans="1:9" s="4" customFormat="1" ht="18" customHeight="1" x14ac:dyDescent="0.25">
      <c r="A65" s="143" t="s">
        <v>85</v>
      </c>
      <c r="B65" s="143"/>
      <c r="C65" s="40">
        <v>2240</v>
      </c>
      <c r="D65" s="40">
        <v>360</v>
      </c>
      <c r="E65" s="40"/>
      <c r="F65" s="39"/>
      <c r="G65" s="39"/>
      <c r="H65" s="39"/>
      <c r="I65" s="39" t="s">
        <v>26</v>
      </c>
    </row>
    <row r="66" spans="1:9" s="4" customFormat="1" ht="17.25" customHeight="1" x14ac:dyDescent="0.25">
      <c r="A66" s="143" t="s">
        <v>86</v>
      </c>
      <c r="B66" s="143"/>
      <c r="C66" s="40">
        <v>2300</v>
      </c>
      <c r="D66" s="40">
        <v>850</v>
      </c>
      <c r="E66" s="40"/>
      <c r="F66" s="39">
        <f>SUM(F67:F69)</f>
        <v>10350.34</v>
      </c>
      <c r="G66" s="39">
        <f t="shared" ref="G66:H66" si="3">SUM(G67:G69)</f>
        <v>9060</v>
      </c>
      <c r="H66" s="39">
        <f t="shared" si="3"/>
        <v>9060</v>
      </c>
      <c r="I66" s="39" t="s">
        <v>26</v>
      </c>
    </row>
    <row r="67" spans="1:9" s="4" customFormat="1" ht="27" customHeight="1" x14ac:dyDescent="0.25">
      <c r="A67" s="143" t="s">
        <v>87</v>
      </c>
      <c r="B67" s="143"/>
      <c r="C67" s="40">
        <v>2310</v>
      </c>
      <c r="D67" s="40">
        <v>851</v>
      </c>
      <c r="E67" s="40">
        <v>290</v>
      </c>
      <c r="F67" s="90">
        <f>9050-316.28</f>
        <v>8733.7199999999993</v>
      </c>
      <c r="G67" s="90">
        <v>9000</v>
      </c>
      <c r="H67" s="90">
        <v>9000</v>
      </c>
      <c r="I67" s="41" t="s">
        <v>26</v>
      </c>
    </row>
    <row r="68" spans="1:9" s="4" customFormat="1" ht="33" customHeight="1" x14ac:dyDescent="0.25">
      <c r="A68" s="132" t="s">
        <v>88</v>
      </c>
      <c r="B68" s="132"/>
      <c r="C68" s="42">
        <v>2320</v>
      </c>
      <c r="D68" s="42">
        <v>852</v>
      </c>
      <c r="E68" s="42">
        <v>290</v>
      </c>
      <c r="F68" s="91">
        <v>20</v>
      </c>
      <c r="G68" s="91">
        <v>60</v>
      </c>
      <c r="H68" s="91">
        <v>60</v>
      </c>
      <c r="I68" s="41" t="s">
        <v>26</v>
      </c>
    </row>
    <row r="69" spans="1:9" s="4" customFormat="1" ht="17.25" customHeight="1" x14ac:dyDescent="0.25">
      <c r="A69" s="132" t="s">
        <v>89</v>
      </c>
      <c r="B69" s="132"/>
      <c r="C69" s="42">
        <v>2330</v>
      </c>
      <c r="D69" s="42">
        <v>853</v>
      </c>
      <c r="E69" s="42">
        <v>290</v>
      </c>
      <c r="F69" s="91">
        <f>10+1270.34+316.28</f>
        <v>1596.62</v>
      </c>
      <c r="G69" s="91">
        <v>0</v>
      </c>
      <c r="H69" s="91"/>
      <c r="I69" s="41" t="s">
        <v>26</v>
      </c>
    </row>
    <row r="70" spans="1:9" s="4" customFormat="1" ht="15.75" customHeight="1" x14ac:dyDescent="0.25">
      <c r="A70" s="132" t="s">
        <v>90</v>
      </c>
      <c r="B70" s="132"/>
      <c r="C70" s="42">
        <v>2400</v>
      </c>
      <c r="D70" s="42" t="s">
        <v>26</v>
      </c>
      <c r="E70" s="42"/>
      <c r="F70" s="41">
        <f>SUM(F71:F73)</f>
        <v>0</v>
      </c>
      <c r="G70" s="41">
        <f t="shared" ref="G70:H70" si="4">SUM(G71:G73)</f>
        <v>0</v>
      </c>
      <c r="H70" s="41">
        <f t="shared" si="4"/>
        <v>0</v>
      </c>
      <c r="I70" s="41" t="s">
        <v>26</v>
      </c>
    </row>
    <row r="71" spans="1:9" s="4" customFormat="1" ht="29.25" customHeight="1" x14ac:dyDescent="0.25">
      <c r="A71" s="132" t="s">
        <v>91</v>
      </c>
      <c r="B71" s="132"/>
      <c r="C71" s="42">
        <v>2410</v>
      </c>
      <c r="D71" s="42">
        <v>613</v>
      </c>
      <c r="E71" s="42"/>
      <c r="F71" s="41"/>
      <c r="G71" s="41"/>
      <c r="H71" s="41"/>
      <c r="I71" s="41" t="s">
        <v>26</v>
      </c>
    </row>
    <row r="72" spans="1:9" s="4" customFormat="1" ht="16.5" customHeight="1" x14ac:dyDescent="0.25">
      <c r="A72" s="132" t="s">
        <v>92</v>
      </c>
      <c r="B72" s="132"/>
      <c r="C72" s="42">
        <v>2420</v>
      </c>
      <c r="D72" s="42">
        <v>623</v>
      </c>
      <c r="E72" s="42"/>
      <c r="F72" s="41"/>
      <c r="G72" s="41"/>
      <c r="H72" s="41"/>
      <c r="I72" s="41" t="s">
        <v>26</v>
      </c>
    </row>
    <row r="73" spans="1:9" s="4" customFormat="1" ht="28.5" customHeight="1" x14ac:dyDescent="0.25">
      <c r="A73" s="132" t="s">
        <v>93</v>
      </c>
      <c r="B73" s="132"/>
      <c r="C73" s="42">
        <v>2430</v>
      </c>
      <c r="D73" s="42">
        <v>634</v>
      </c>
      <c r="E73" s="42"/>
      <c r="F73" s="41"/>
      <c r="G73" s="41"/>
      <c r="H73" s="41"/>
      <c r="I73" s="41" t="s">
        <v>26</v>
      </c>
    </row>
    <row r="74" spans="1:9" s="4" customFormat="1" ht="15.75" customHeight="1" x14ac:dyDescent="0.25">
      <c r="A74" s="132" t="s">
        <v>94</v>
      </c>
      <c r="B74" s="132"/>
      <c r="C74" s="42">
        <v>2440</v>
      </c>
      <c r="D74" s="42">
        <v>810</v>
      </c>
      <c r="E74" s="42"/>
      <c r="F74" s="41"/>
      <c r="G74" s="41"/>
      <c r="H74" s="41"/>
      <c r="I74" s="41"/>
    </row>
    <row r="75" spans="1:9" s="4" customFormat="1" ht="16.5" customHeight="1" x14ac:dyDescent="0.25">
      <c r="A75" s="141" t="s">
        <v>95</v>
      </c>
      <c r="B75" s="142"/>
      <c r="C75" s="42">
        <v>2450</v>
      </c>
      <c r="D75" s="42">
        <v>862</v>
      </c>
      <c r="E75" s="42"/>
      <c r="F75" s="41"/>
      <c r="G75" s="41"/>
      <c r="H75" s="41"/>
      <c r="I75" s="41"/>
    </row>
    <row r="76" spans="1:9" s="4" customFormat="1" ht="30" customHeight="1" x14ac:dyDescent="0.25">
      <c r="A76" s="141" t="s">
        <v>96</v>
      </c>
      <c r="B76" s="142"/>
      <c r="C76" s="42">
        <v>2460</v>
      </c>
      <c r="D76" s="42">
        <v>863</v>
      </c>
      <c r="E76" s="42"/>
      <c r="F76" s="41"/>
      <c r="G76" s="41"/>
      <c r="H76" s="41"/>
      <c r="I76" s="41" t="s">
        <v>26</v>
      </c>
    </row>
    <row r="77" spans="1:9" s="4" customFormat="1" ht="17.25" customHeight="1" x14ac:dyDescent="0.25">
      <c r="A77" s="132" t="s">
        <v>97</v>
      </c>
      <c r="B77" s="132"/>
      <c r="C77" s="42">
        <v>2500</v>
      </c>
      <c r="D77" s="42" t="s">
        <v>26</v>
      </c>
      <c r="E77" s="42"/>
      <c r="F77" s="41">
        <f>F78</f>
        <v>0</v>
      </c>
      <c r="G77" s="41">
        <f t="shared" ref="G77:H77" si="5">G78</f>
        <v>0</v>
      </c>
      <c r="H77" s="41">
        <f t="shared" si="5"/>
        <v>0</v>
      </c>
      <c r="I77" s="41" t="s">
        <v>26</v>
      </c>
    </row>
    <row r="78" spans="1:9" s="4" customFormat="1" ht="47.25" customHeight="1" x14ac:dyDescent="0.25">
      <c r="A78" s="132" t="s">
        <v>98</v>
      </c>
      <c r="B78" s="132"/>
      <c r="C78" s="42">
        <v>2520</v>
      </c>
      <c r="D78" s="42">
        <v>831</v>
      </c>
      <c r="E78" s="42"/>
      <c r="F78" s="41"/>
      <c r="G78" s="41"/>
      <c r="H78" s="41"/>
      <c r="I78" s="41"/>
    </row>
    <row r="79" spans="1:9" s="4" customFormat="1" ht="20.25" customHeight="1" x14ac:dyDescent="0.25">
      <c r="A79" s="132" t="s">
        <v>99</v>
      </c>
      <c r="B79" s="132"/>
      <c r="C79" s="42">
        <v>2600</v>
      </c>
      <c r="D79" s="42" t="s">
        <v>26</v>
      </c>
      <c r="E79" s="42"/>
      <c r="F79" s="41">
        <f>F80+F81+F82+F92+F90</f>
        <v>1417424.9300000002</v>
      </c>
      <c r="G79" s="41">
        <f>G80+G81+G82+G92+G90</f>
        <v>1318554.3700000001</v>
      </c>
      <c r="H79" s="41">
        <f>H80+H81+H82+H92+H90</f>
        <v>1413754.37</v>
      </c>
      <c r="I79" s="41"/>
    </row>
    <row r="80" spans="1:9" s="4" customFormat="1" ht="31.5" customHeight="1" x14ac:dyDescent="0.25">
      <c r="A80" s="132" t="s">
        <v>100</v>
      </c>
      <c r="B80" s="132"/>
      <c r="C80" s="42">
        <v>2610</v>
      </c>
      <c r="D80" s="42">
        <v>241</v>
      </c>
      <c r="E80" s="42"/>
      <c r="F80" s="41"/>
      <c r="G80" s="41"/>
      <c r="H80" s="41"/>
      <c r="I80" s="41"/>
    </row>
    <row r="81" spans="1:9" s="4" customFormat="1" ht="30.75" customHeight="1" x14ac:dyDescent="0.25">
      <c r="A81" s="132" t="s">
        <v>101</v>
      </c>
      <c r="B81" s="132"/>
      <c r="C81" s="42">
        <v>2630</v>
      </c>
      <c r="D81" s="42">
        <v>243</v>
      </c>
      <c r="E81" s="42"/>
      <c r="F81" s="41"/>
      <c r="G81" s="41"/>
      <c r="H81" s="41"/>
      <c r="I81" s="41"/>
    </row>
    <row r="82" spans="1:9" s="4" customFormat="1" ht="18" customHeight="1" x14ac:dyDescent="0.25">
      <c r="A82" s="132" t="s">
        <v>102</v>
      </c>
      <c r="B82" s="132"/>
      <c r="C82" s="42">
        <v>2640</v>
      </c>
      <c r="D82" s="42">
        <v>244</v>
      </c>
      <c r="E82" s="42"/>
      <c r="F82" s="41">
        <f>F84+F85+F86+F87+F88+F89</f>
        <v>1085931.3900000001</v>
      </c>
      <c r="G82" s="41">
        <f>G84+G85+G86+G87+G88+G89</f>
        <v>1198554.3700000001</v>
      </c>
      <c r="H82" s="41">
        <f>H84+H85+H86+H87+H88+H89</f>
        <v>1293754.3700000001</v>
      </c>
      <c r="I82" s="41"/>
    </row>
    <row r="83" spans="1:9" s="4" customFormat="1" ht="15.75" customHeight="1" x14ac:dyDescent="0.25">
      <c r="A83" s="139" t="s">
        <v>103</v>
      </c>
      <c r="B83" s="140"/>
      <c r="C83" s="42"/>
      <c r="D83" s="43"/>
      <c r="E83" s="42"/>
      <c r="F83" s="41"/>
      <c r="G83" s="41"/>
      <c r="H83" s="41"/>
      <c r="I83" s="41"/>
    </row>
    <row r="84" spans="1:9" s="4" customFormat="1" ht="15.75" customHeight="1" x14ac:dyDescent="0.25">
      <c r="A84" s="135" t="s">
        <v>104</v>
      </c>
      <c r="B84" s="135"/>
      <c r="C84" s="42">
        <v>2641</v>
      </c>
      <c r="D84" s="43" t="s">
        <v>105</v>
      </c>
      <c r="E84" s="42"/>
      <c r="F84" s="91">
        <v>6899.76</v>
      </c>
      <c r="G84" s="91">
        <v>15000</v>
      </c>
      <c r="H84" s="91">
        <v>15000</v>
      </c>
      <c r="I84" s="41"/>
    </row>
    <row r="85" spans="1:9" s="4" customFormat="1" ht="16.5" customHeight="1" x14ac:dyDescent="0.25">
      <c r="A85" s="135" t="s">
        <v>106</v>
      </c>
      <c r="B85" s="135"/>
      <c r="C85" s="42">
        <v>2642</v>
      </c>
      <c r="D85" s="43" t="s">
        <v>105</v>
      </c>
      <c r="E85" s="42"/>
      <c r="F85" s="91">
        <f>45418.8-21085.6</f>
        <v>24333.200000000004</v>
      </c>
      <c r="G85" s="91">
        <v>33762.379999999997</v>
      </c>
      <c r="H85" s="91">
        <v>33762.379999999997</v>
      </c>
      <c r="I85" s="41"/>
    </row>
    <row r="86" spans="1:9" s="4" customFormat="1" ht="19.5" customHeight="1" x14ac:dyDescent="0.25">
      <c r="A86" s="136" t="s">
        <v>107</v>
      </c>
      <c r="B86" s="137"/>
      <c r="C86" s="44">
        <v>2643</v>
      </c>
      <c r="D86" s="43" t="s">
        <v>105</v>
      </c>
      <c r="E86" s="42"/>
      <c r="F86" s="91">
        <f>1000+10156.2+14448+51995.18+70700+4328+7548.1+5000</f>
        <v>165175.48000000001</v>
      </c>
      <c r="G86" s="91">
        <f>67985.59+70700</f>
        <v>138685.59</v>
      </c>
      <c r="H86" s="91">
        <f>67985.59+70700</f>
        <v>138685.59</v>
      </c>
      <c r="I86" s="41"/>
    </row>
    <row r="87" spans="1:9" s="4" customFormat="1" ht="17.25" customHeight="1" x14ac:dyDescent="0.25">
      <c r="A87" s="135" t="s">
        <v>108</v>
      </c>
      <c r="B87" s="135"/>
      <c r="C87" s="42">
        <v>2644</v>
      </c>
      <c r="D87" s="43" t="s">
        <v>105</v>
      </c>
      <c r="E87" s="42"/>
      <c r="F87" s="91">
        <f>10000+21108.48+89657.77+63523.2+14135.3+500-7433.4+172500-172500+2230.2+18527.1</f>
        <v>212248.65</v>
      </c>
      <c r="G87" s="91">
        <f>215008.84+6035.06</f>
        <v>221043.9</v>
      </c>
      <c r="H87" s="91">
        <v>221043.9</v>
      </c>
      <c r="I87" s="41"/>
    </row>
    <row r="88" spans="1:9" s="4" customFormat="1" ht="19.5" customHeight="1" x14ac:dyDescent="0.25">
      <c r="A88" s="138" t="s">
        <v>109</v>
      </c>
      <c r="B88" s="138"/>
      <c r="C88" s="44">
        <v>2645</v>
      </c>
      <c r="D88" s="43" t="s">
        <v>105</v>
      </c>
      <c r="E88" s="42"/>
      <c r="F88" s="91">
        <f>32300+10000+32300+8000</f>
        <v>82600</v>
      </c>
      <c r="G88" s="91">
        <v>161800</v>
      </c>
      <c r="H88" s="91">
        <f>205400+10000</f>
        <v>215400</v>
      </c>
      <c r="I88" s="41"/>
    </row>
    <row r="89" spans="1:9" s="4" customFormat="1" ht="19.5" customHeight="1" x14ac:dyDescent="0.25">
      <c r="A89" s="138" t="s">
        <v>110</v>
      </c>
      <c r="B89" s="138"/>
      <c r="C89" s="44">
        <v>2646</v>
      </c>
      <c r="D89" s="43" t="s">
        <v>105</v>
      </c>
      <c r="E89" s="42"/>
      <c r="F89" s="91">
        <f>309299.35+11900+119169.22+46659.95+8018.13+500+85150.65+7433.4+9349-2230.2-575.2</f>
        <v>594674.30000000005</v>
      </c>
      <c r="G89" s="91">
        <f>170362.5+457900</f>
        <v>628262.5</v>
      </c>
      <c r="H89" s="91">
        <f>170362.5+499500</f>
        <v>669862.5</v>
      </c>
      <c r="I89" s="41"/>
    </row>
    <row r="90" spans="1:9" s="4" customFormat="1" ht="15" customHeight="1" x14ac:dyDescent="0.25">
      <c r="A90" s="135" t="s">
        <v>111</v>
      </c>
      <c r="B90" s="135"/>
      <c r="C90" s="42">
        <v>2650</v>
      </c>
      <c r="D90" s="43" t="s">
        <v>112</v>
      </c>
      <c r="E90" s="42"/>
      <c r="F90" s="41">
        <f>F91</f>
        <v>331493.53999999998</v>
      </c>
      <c r="G90" s="41">
        <f>G91</f>
        <v>120000</v>
      </c>
      <c r="H90" s="41">
        <f>H91</f>
        <v>120000</v>
      </c>
      <c r="I90" s="41"/>
    </row>
    <row r="91" spans="1:9" s="4" customFormat="1" ht="28.5" customHeight="1" x14ac:dyDescent="0.25">
      <c r="A91" s="132" t="s">
        <v>113</v>
      </c>
      <c r="B91" s="132"/>
      <c r="C91" s="42">
        <v>2651</v>
      </c>
      <c r="D91" s="42">
        <v>247</v>
      </c>
      <c r="E91" s="42"/>
      <c r="F91" s="91">
        <f>129429.18+180978.76+19081.67+2003.93</f>
        <v>331493.53999999998</v>
      </c>
      <c r="G91" s="91">
        <v>120000</v>
      </c>
      <c r="H91" s="91">
        <v>120000</v>
      </c>
      <c r="I91" s="41">
        <f t="shared" ref="I91" si="6">I92+I93</f>
        <v>0</v>
      </c>
    </row>
    <row r="92" spans="1:9" s="4" customFormat="1" ht="31.5" customHeight="1" x14ac:dyDescent="0.25">
      <c r="A92" s="135" t="s">
        <v>114</v>
      </c>
      <c r="B92" s="135"/>
      <c r="C92" s="42">
        <v>2700</v>
      </c>
      <c r="D92" s="42">
        <v>400</v>
      </c>
      <c r="E92" s="42"/>
      <c r="F92" s="41">
        <f>F93+F94</f>
        <v>0</v>
      </c>
      <c r="G92" s="41">
        <f>G93+G94</f>
        <v>0</v>
      </c>
      <c r="H92" s="41">
        <f>H93+H94</f>
        <v>0</v>
      </c>
      <c r="I92" s="41"/>
    </row>
    <row r="93" spans="1:9" s="4" customFormat="1" ht="44.25" customHeight="1" x14ac:dyDescent="0.25">
      <c r="A93" s="132" t="s">
        <v>115</v>
      </c>
      <c r="B93" s="132"/>
      <c r="C93" s="42">
        <v>2710</v>
      </c>
      <c r="D93" s="42">
        <v>406</v>
      </c>
      <c r="E93" s="42"/>
      <c r="F93" s="41"/>
      <c r="G93" s="41"/>
      <c r="H93" s="41"/>
      <c r="I93" s="41"/>
    </row>
    <row r="94" spans="1:9" s="4" customFormat="1" ht="15" customHeight="1" x14ac:dyDescent="0.25">
      <c r="A94" s="132" t="s">
        <v>116</v>
      </c>
      <c r="B94" s="132"/>
      <c r="C94" s="42">
        <v>2720</v>
      </c>
      <c r="D94" s="42">
        <v>407</v>
      </c>
      <c r="E94" s="42"/>
      <c r="F94" s="41"/>
      <c r="G94" s="41"/>
      <c r="H94" s="41"/>
      <c r="I94" s="45" t="s">
        <v>26</v>
      </c>
    </row>
    <row r="95" spans="1:9" s="4" customFormat="1" ht="20.25" customHeight="1" x14ac:dyDescent="0.25">
      <c r="A95" s="133" t="s">
        <v>117</v>
      </c>
      <c r="B95" s="133"/>
      <c r="C95" s="46">
        <v>3000</v>
      </c>
      <c r="D95" s="46">
        <v>100</v>
      </c>
      <c r="E95" s="42"/>
      <c r="F95" s="45">
        <f>SUM(F96:F98)</f>
        <v>-2519</v>
      </c>
      <c r="G95" s="45">
        <f t="shared" ref="G95:H95" si="7">SUM(G96:G98)</f>
        <v>0</v>
      </c>
      <c r="H95" s="45">
        <f t="shared" si="7"/>
        <v>0</v>
      </c>
      <c r="I95" s="41" t="s">
        <v>26</v>
      </c>
    </row>
    <row r="96" spans="1:9" s="4" customFormat="1" ht="25.5" customHeight="1" x14ac:dyDescent="0.25">
      <c r="A96" s="132" t="s">
        <v>118</v>
      </c>
      <c r="B96" s="132"/>
      <c r="C96" s="42">
        <v>3010</v>
      </c>
      <c r="D96" s="42"/>
      <c r="E96" s="46"/>
      <c r="F96" s="41">
        <f>-1013-1506</f>
        <v>-2519</v>
      </c>
      <c r="G96" s="41"/>
      <c r="H96" s="41"/>
      <c r="I96" s="41" t="s">
        <v>26</v>
      </c>
    </row>
    <row r="97" spans="1:10" x14ac:dyDescent="0.25">
      <c r="A97" s="132" t="s">
        <v>119</v>
      </c>
      <c r="B97" s="132"/>
      <c r="C97" s="42">
        <v>3020</v>
      </c>
      <c r="D97" s="42"/>
      <c r="E97" s="42"/>
      <c r="F97" s="41"/>
      <c r="G97" s="41"/>
      <c r="H97" s="41"/>
      <c r="I97" s="41" t="s">
        <v>26</v>
      </c>
    </row>
    <row r="98" spans="1:10" x14ac:dyDescent="0.25">
      <c r="A98" s="132" t="s">
        <v>120</v>
      </c>
      <c r="B98" s="132"/>
      <c r="C98" s="42">
        <v>3030</v>
      </c>
      <c r="D98" s="42"/>
      <c r="E98" s="42"/>
      <c r="F98" s="41"/>
      <c r="G98" s="41"/>
      <c r="H98" s="41"/>
      <c r="I98" s="45" t="s">
        <v>26</v>
      </c>
    </row>
    <row r="99" spans="1:10" ht="23.25" customHeight="1" x14ac:dyDescent="0.25">
      <c r="A99" s="133" t="s">
        <v>121</v>
      </c>
      <c r="B99" s="133"/>
      <c r="C99" s="46">
        <v>4000</v>
      </c>
      <c r="D99" s="46" t="s">
        <v>26</v>
      </c>
      <c r="E99" s="42"/>
      <c r="F99" s="45">
        <f>F100</f>
        <v>0</v>
      </c>
      <c r="G99" s="45">
        <f t="shared" ref="G99:H99" si="8">G100</f>
        <v>0</v>
      </c>
      <c r="H99" s="45">
        <f t="shared" si="8"/>
        <v>0</v>
      </c>
      <c r="I99" s="41" t="s">
        <v>26</v>
      </c>
    </row>
    <row r="100" spans="1:10" ht="27.75" customHeight="1" x14ac:dyDescent="0.25">
      <c r="A100" s="132" t="s">
        <v>122</v>
      </c>
      <c r="B100" s="132"/>
      <c r="C100" s="42">
        <v>4010</v>
      </c>
      <c r="D100" s="42">
        <v>610</v>
      </c>
      <c r="E100" s="46"/>
      <c r="F100" s="41"/>
      <c r="G100" s="41"/>
      <c r="H100" s="41"/>
      <c r="I100" s="41"/>
    </row>
    <row r="101" spans="1:10" ht="12.75" customHeight="1" x14ac:dyDescent="0.25">
      <c r="A101" s="47"/>
      <c r="B101" s="48"/>
      <c r="C101" s="49"/>
      <c r="D101" s="49"/>
      <c r="E101" s="50"/>
      <c r="F101" s="51"/>
      <c r="G101" s="51"/>
      <c r="H101" s="51"/>
      <c r="I101" s="52"/>
    </row>
    <row r="102" spans="1:10" ht="21.75" customHeight="1" x14ac:dyDescent="0.25">
      <c r="A102" s="134" t="s">
        <v>123</v>
      </c>
      <c r="B102" s="134"/>
      <c r="C102" s="134"/>
      <c r="D102" s="134"/>
      <c r="E102" s="134"/>
      <c r="F102" s="134"/>
      <c r="G102" s="134"/>
      <c r="H102" s="134"/>
      <c r="I102" s="52"/>
    </row>
    <row r="103" spans="1:10" x14ac:dyDescent="0.25">
      <c r="A103" s="53"/>
      <c r="B103" s="52"/>
      <c r="C103" s="54"/>
      <c r="D103" s="54"/>
      <c r="E103" s="54"/>
      <c r="F103" s="54"/>
      <c r="G103" s="55"/>
      <c r="H103" s="54"/>
      <c r="I103" s="56"/>
    </row>
    <row r="104" spans="1:10" ht="14.25" customHeight="1" x14ac:dyDescent="0.25">
      <c r="A104" s="121" t="s">
        <v>124</v>
      </c>
      <c r="B104" s="121" t="s">
        <v>14</v>
      </c>
      <c r="C104" s="121" t="s">
        <v>125</v>
      </c>
      <c r="D104" s="121" t="s">
        <v>126</v>
      </c>
      <c r="E104" s="124" t="s">
        <v>16</v>
      </c>
      <c r="F104" s="127" t="s">
        <v>18</v>
      </c>
      <c r="G104" s="128"/>
      <c r="H104" s="128"/>
      <c r="I104" s="129"/>
    </row>
    <row r="105" spans="1:10" ht="22.5" customHeight="1" x14ac:dyDescent="0.25">
      <c r="A105" s="122"/>
      <c r="B105" s="122"/>
      <c r="C105" s="122"/>
      <c r="D105" s="122"/>
      <c r="E105" s="125"/>
      <c r="F105" s="121" t="s">
        <v>19</v>
      </c>
      <c r="G105" s="97" t="s">
        <v>179</v>
      </c>
      <c r="H105" s="97" t="s">
        <v>193</v>
      </c>
      <c r="I105" s="130" t="s">
        <v>20</v>
      </c>
    </row>
    <row r="106" spans="1:10" ht="44.25" customHeight="1" x14ac:dyDescent="0.25">
      <c r="A106" s="123"/>
      <c r="B106" s="123"/>
      <c r="C106" s="123"/>
      <c r="D106" s="123"/>
      <c r="E106" s="126"/>
      <c r="F106" s="123"/>
      <c r="G106" s="97" t="s">
        <v>22</v>
      </c>
      <c r="H106" s="97" t="s">
        <v>23</v>
      </c>
      <c r="I106" s="131"/>
    </row>
    <row r="107" spans="1:10" x14ac:dyDescent="0.25">
      <c r="A107" s="57">
        <v>1</v>
      </c>
      <c r="B107" s="97">
        <v>2</v>
      </c>
      <c r="C107" s="97">
        <v>3</v>
      </c>
      <c r="D107" s="97">
        <v>4</v>
      </c>
      <c r="E107" s="32" t="s">
        <v>127</v>
      </c>
      <c r="F107" s="97">
        <v>5</v>
      </c>
      <c r="G107" s="97">
        <v>6</v>
      </c>
      <c r="H107" s="97">
        <v>7</v>
      </c>
      <c r="I107" s="58">
        <v>8</v>
      </c>
    </row>
    <row r="108" spans="1:10" ht="22.5" customHeight="1" x14ac:dyDescent="0.25">
      <c r="A108" s="57">
        <v>1</v>
      </c>
      <c r="B108" s="59" t="s">
        <v>128</v>
      </c>
      <c r="C108" s="60">
        <v>26000</v>
      </c>
      <c r="D108" s="60" t="s">
        <v>26</v>
      </c>
      <c r="E108" s="61" t="s">
        <v>26</v>
      </c>
      <c r="F108" s="62">
        <f>F109+F110+F111+F115</f>
        <v>1417424.9300000002</v>
      </c>
      <c r="G108" s="62">
        <f>G109+G110+G111+G115</f>
        <v>1318554.3700000001</v>
      </c>
      <c r="H108" s="62">
        <f t="shared" ref="H108" si="9">H109+H110+H111+H115</f>
        <v>1413754.37</v>
      </c>
      <c r="I108" s="39"/>
    </row>
    <row r="109" spans="1:10" ht="183.75" customHeight="1" x14ac:dyDescent="0.25">
      <c r="A109" s="63" t="s">
        <v>129</v>
      </c>
      <c r="B109" s="64" t="s">
        <v>182</v>
      </c>
      <c r="C109" s="65">
        <v>26100</v>
      </c>
      <c r="D109" s="40" t="s">
        <v>26</v>
      </c>
      <c r="E109" s="22" t="s">
        <v>26</v>
      </c>
      <c r="F109" s="90">
        <v>500</v>
      </c>
      <c r="G109" s="39"/>
      <c r="H109" s="39"/>
      <c r="I109" s="39"/>
    </row>
    <row r="110" spans="1:10" ht="43.5" customHeight="1" x14ac:dyDescent="0.25">
      <c r="A110" s="63" t="s">
        <v>130</v>
      </c>
      <c r="B110" s="64" t="s">
        <v>131</v>
      </c>
      <c r="C110" s="65">
        <v>26200</v>
      </c>
      <c r="D110" s="40" t="s">
        <v>26</v>
      </c>
      <c r="E110" s="22" t="s">
        <v>26</v>
      </c>
      <c r="F110" s="39"/>
      <c r="G110" s="39"/>
      <c r="H110" s="39"/>
      <c r="I110" s="39"/>
    </row>
    <row r="111" spans="1:10" ht="46.5" customHeight="1" x14ac:dyDescent="0.25">
      <c r="A111" s="63" t="s">
        <v>132</v>
      </c>
      <c r="B111" s="64" t="s">
        <v>133</v>
      </c>
      <c r="C111" s="65">
        <v>26300</v>
      </c>
      <c r="D111" s="40" t="s">
        <v>26</v>
      </c>
      <c r="E111" s="22" t="s">
        <v>26</v>
      </c>
      <c r="F111" s="90">
        <f>45418.8+10156.2+14448+51995.18+21108.48+63523.2+85150.65+129429.18+6899.76+46659.95+500+180978.76+2003.93-21085.6-23512.99</f>
        <v>613673.50000000012</v>
      </c>
      <c r="G111" s="39">
        <v>0</v>
      </c>
      <c r="H111" s="39">
        <v>0</v>
      </c>
      <c r="I111" s="39"/>
      <c r="J111" s="2">
        <v>130</v>
      </c>
    </row>
    <row r="112" spans="1:10" ht="17.25" customHeight="1" x14ac:dyDescent="0.25">
      <c r="A112" s="66" t="s">
        <v>134</v>
      </c>
      <c r="B112" s="64" t="s">
        <v>135</v>
      </c>
      <c r="C112" s="65">
        <v>26310</v>
      </c>
      <c r="D112" s="40" t="s">
        <v>26</v>
      </c>
      <c r="E112" s="22" t="s">
        <v>26</v>
      </c>
      <c r="F112" s="39">
        <f>F111</f>
        <v>613673.50000000012</v>
      </c>
      <c r="G112" s="39"/>
      <c r="H112" s="39"/>
      <c r="I112" s="39"/>
    </row>
    <row r="113" spans="1:13" ht="16.5" customHeight="1" x14ac:dyDescent="0.25">
      <c r="A113" s="66"/>
      <c r="B113" s="64" t="s">
        <v>136</v>
      </c>
      <c r="C113" s="65" t="s">
        <v>137</v>
      </c>
      <c r="D113" s="40" t="s">
        <v>26</v>
      </c>
      <c r="E113" s="22">
        <v>150</v>
      </c>
      <c r="F113" s="39"/>
      <c r="G113" s="39"/>
      <c r="H113" s="39"/>
      <c r="I113" s="39"/>
    </row>
    <row r="114" spans="1:13" ht="20.25" customHeight="1" x14ac:dyDescent="0.25">
      <c r="A114" s="66" t="s">
        <v>138</v>
      </c>
      <c r="B114" s="64" t="s">
        <v>139</v>
      </c>
      <c r="C114" s="65">
        <v>26320</v>
      </c>
      <c r="D114" s="40" t="s">
        <v>26</v>
      </c>
      <c r="E114" s="22" t="s">
        <v>26</v>
      </c>
      <c r="F114" s="39"/>
      <c r="G114" s="39"/>
      <c r="H114" s="39"/>
      <c r="I114" s="39"/>
      <c r="L114" s="12" t="s">
        <v>191</v>
      </c>
      <c r="M114" s="13"/>
    </row>
    <row r="115" spans="1:13" ht="45" customHeight="1" x14ac:dyDescent="0.25">
      <c r="A115" s="63" t="s">
        <v>140</v>
      </c>
      <c r="B115" s="64" t="s">
        <v>141</v>
      </c>
      <c r="C115" s="65">
        <v>26400</v>
      </c>
      <c r="D115" s="40" t="s">
        <v>26</v>
      </c>
      <c r="E115" s="22" t="s">
        <v>26</v>
      </c>
      <c r="F115" s="92">
        <f>F116+F119+F123+F125+F128</f>
        <v>803251.43</v>
      </c>
      <c r="G115" s="92">
        <f>G116+G119+G123+G125+G128</f>
        <v>1318554.3700000001</v>
      </c>
      <c r="H115" s="92">
        <f>H116+H119+H123+H125+H128</f>
        <v>1413754.37</v>
      </c>
      <c r="I115" s="39"/>
      <c r="J115" s="6" t="s">
        <v>188</v>
      </c>
      <c r="L115" s="8">
        <v>111</v>
      </c>
      <c r="M115" s="11">
        <f>7433.4+7946.7+89409.3-2230.2-2701.9</f>
        <v>99857.3</v>
      </c>
    </row>
    <row r="116" spans="1:13" ht="44.25" customHeight="1" x14ac:dyDescent="0.25">
      <c r="A116" s="66" t="s">
        <v>142</v>
      </c>
      <c r="B116" s="64" t="s">
        <v>143</v>
      </c>
      <c r="C116" s="65">
        <v>26410</v>
      </c>
      <c r="D116" s="40" t="s">
        <v>26</v>
      </c>
      <c r="E116" s="22" t="s">
        <v>26</v>
      </c>
      <c r="F116" s="39">
        <f>F117+F118</f>
        <v>532764.08000000007</v>
      </c>
      <c r="G116" s="39">
        <f>G117+G118</f>
        <v>925691.87000000011</v>
      </c>
      <c r="H116" s="39">
        <f t="shared" ref="H116" si="10">H117+H118</f>
        <v>967291.87000000011</v>
      </c>
      <c r="I116" s="39"/>
      <c r="L116" s="8">
        <v>112</v>
      </c>
      <c r="M116" s="11">
        <f>1000+10000+89657.77+309299.35+11900+119169.22+8018.13-7946.7+172500-89409.3-172500+9349+4328+2701.9</f>
        <v>468067.37</v>
      </c>
    </row>
    <row r="117" spans="1:13" ht="29.25" customHeight="1" x14ac:dyDescent="0.25">
      <c r="A117" s="66" t="s">
        <v>144</v>
      </c>
      <c r="B117" s="64" t="s">
        <v>145</v>
      </c>
      <c r="C117" s="65">
        <v>26411</v>
      </c>
      <c r="D117" s="40" t="s">
        <v>26</v>
      </c>
      <c r="E117" s="22" t="s">
        <v>26</v>
      </c>
      <c r="F117" s="39">
        <f>F79-F111-F119-F128-F109</f>
        <v>532764.08000000007</v>
      </c>
      <c r="G117" s="39">
        <f>G79-G111-G119-G128</f>
        <v>925691.87000000011</v>
      </c>
      <c r="H117" s="39">
        <f>H79-H111-H119-H128</f>
        <v>967291.87000000011</v>
      </c>
      <c r="I117" s="39"/>
      <c r="L117" s="8">
        <v>113</v>
      </c>
      <c r="M117" s="11">
        <f>14135.3+32300+10000+70700-7433.4+32300+19081.67+2230.2</f>
        <v>173313.77000000002</v>
      </c>
    </row>
    <row r="118" spans="1:13" ht="22.5" customHeight="1" x14ac:dyDescent="0.25">
      <c r="A118" s="66" t="s">
        <v>146</v>
      </c>
      <c r="B118" s="64" t="s">
        <v>147</v>
      </c>
      <c r="C118" s="40">
        <v>26412</v>
      </c>
      <c r="D118" s="40" t="s">
        <v>26</v>
      </c>
      <c r="E118" s="22" t="s">
        <v>26</v>
      </c>
      <c r="F118" s="39"/>
      <c r="G118" s="39"/>
      <c r="H118" s="39"/>
      <c r="I118" s="39"/>
      <c r="L118" s="9">
        <v>110</v>
      </c>
      <c r="M118" s="16">
        <f>M116+M117+M115</f>
        <v>741238.44000000006</v>
      </c>
    </row>
    <row r="119" spans="1:13" ht="45.75" customHeight="1" x14ac:dyDescent="0.25">
      <c r="A119" s="66" t="s">
        <v>148</v>
      </c>
      <c r="B119" s="64" t="s">
        <v>149</v>
      </c>
      <c r="C119" s="65">
        <v>26420</v>
      </c>
      <c r="D119" s="40" t="s">
        <v>26</v>
      </c>
      <c r="E119" s="22" t="s">
        <v>26</v>
      </c>
      <c r="F119" s="39">
        <f>F120+F122</f>
        <v>143300</v>
      </c>
      <c r="G119" s="39">
        <f>G120+G122</f>
        <v>222500</v>
      </c>
      <c r="H119" s="39">
        <f t="shared" ref="H119" si="11">H120+H122</f>
        <v>276100</v>
      </c>
      <c r="I119" s="39"/>
      <c r="L119" s="8">
        <v>130</v>
      </c>
      <c r="M119" s="14">
        <f>F111</f>
        <v>613673.50000000012</v>
      </c>
    </row>
    <row r="120" spans="1:13" ht="27.75" customHeight="1" x14ac:dyDescent="0.25">
      <c r="A120" s="66" t="s">
        <v>150</v>
      </c>
      <c r="B120" s="64" t="s">
        <v>145</v>
      </c>
      <c r="C120" s="65">
        <v>26421</v>
      </c>
      <c r="D120" s="40" t="s">
        <v>26</v>
      </c>
      <c r="E120" s="22" t="s">
        <v>26</v>
      </c>
      <c r="F120" s="39">
        <f>F35-F37-F38-F36</f>
        <v>143300</v>
      </c>
      <c r="G120" s="39">
        <f>G35-G37-G38-G36</f>
        <v>222500</v>
      </c>
      <c r="H120" s="39">
        <f>H35-H37-H38-H36</f>
        <v>276100</v>
      </c>
      <c r="I120" s="39"/>
      <c r="L120" s="8" t="s">
        <v>189</v>
      </c>
      <c r="M120" s="17">
        <f>M118+M119+F109</f>
        <v>1355411.9400000002</v>
      </c>
    </row>
    <row r="121" spans="1:13" x14ac:dyDescent="0.25">
      <c r="A121" s="66"/>
      <c r="B121" s="64" t="s">
        <v>136</v>
      </c>
      <c r="C121" s="65" t="s">
        <v>151</v>
      </c>
      <c r="D121" s="40" t="s">
        <v>26</v>
      </c>
      <c r="E121" s="22">
        <v>150</v>
      </c>
      <c r="F121" s="39">
        <f>F120</f>
        <v>143300</v>
      </c>
      <c r="G121" s="39">
        <f>G120</f>
        <v>222500</v>
      </c>
      <c r="H121" s="39">
        <f>H120</f>
        <v>276100</v>
      </c>
      <c r="I121" s="39"/>
      <c r="L121" s="10" t="s">
        <v>190</v>
      </c>
      <c r="M121" s="15">
        <f>M118-F115</f>
        <v>-62012.989999999991</v>
      </c>
    </row>
    <row r="122" spans="1:13" ht="18" customHeight="1" x14ac:dyDescent="0.25">
      <c r="A122" s="67" t="s">
        <v>152</v>
      </c>
      <c r="B122" s="64" t="s">
        <v>147</v>
      </c>
      <c r="C122" s="65">
        <v>26422</v>
      </c>
      <c r="D122" s="40" t="s">
        <v>26</v>
      </c>
      <c r="E122" s="22" t="s">
        <v>26</v>
      </c>
      <c r="F122" s="39"/>
      <c r="G122" s="39"/>
      <c r="H122" s="39"/>
      <c r="I122" s="39"/>
    </row>
    <row r="123" spans="1:13" ht="28.5" customHeight="1" x14ac:dyDescent="0.25">
      <c r="A123" s="66" t="s">
        <v>153</v>
      </c>
      <c r="B123" s="64" t="s">
        <v>154</v>
      </c>
      <c r="C123" s="65">
        <v>26430</v>
      </c>
      <c r="D123" s="40" t="s">
        <v>26</v>
      </c>
      <c r="E123" s="22" t="s">
        <v>26</v>
      </c>
      <c r="F123" s="39"/>
      <c r="G123" s="39"/>
      <c r="H123" s="39"/>
      <c r="I123" s="39"/>
      <c r="M123" s="2">
        <v>1378924.93</v>
      </c>
    </row>
    <row r="124" spans="1:13" ht="16.5" customHeight="1" x14ac:dyDescent="0.25">
      <c r="A124" s="66"/>
      <c r="B124" s="64" t="s">
        <v>136</v>
      </c>
      <c r="C124" s="65" t="s">
        <v>155</v>
      </c>
      <c r="D124" s="40" t="s">
        <v>26</v>
      </c>
      <c r="E124" s="22">
        <v>150</v>
      </c>
      <c r="F124" s="39"/>
      <c r="G124" s="39"/>
      <c r="H124" s="39"/>
      <c r="I124" s="39">
        <f t="shared" ref="G124:I125" si="12">I125+I126</f>
        <v>0</v>
      </c>
    </row>
    <row r="125" spans="1:13" ht="16.5" customHeight="1" x14ac:dyDescent="0.25">
      <c r="A125" s="66" t="s">
        <v>156</v>
      </c>
      <c r="B125" s="64" t="s">
        <v>157</v>
      </c>
      <c r="C125" s="65">
        <v>26440</v>
      </c>
      <c r="D125" s="40" t="s">
        <v>26</v>
      </c>
      <c r="E125" s="22" t="s">
        <v>26</v>
      </c>
      <c r="F125" s="39">
        <f>F126+F127</f>
        <v>0</v>
      </c>
      <c r="G125" s="39">
        <f t="shared" si="12"/>
        <v>0</v>
      </c>
      <c r="H125" s="39">
        <f t="shared" si="12"/>
        <v>0</v>
      </c>
      <c r="I125" s="39"/>
    </row>
    <row r="126" spans="1:13" ht="29.25" customHeight="1" x14ac:dyDescent="0.25">
      <c r="A126" s="66" t="s">
        <v>158</v>
      </c>
      <c r="B126" s="64" t="s">
        <v>145</v>
      </c>
      <c r="C126" s="65">
        <v>26441</v>
      </c>
      <c r="D126" s="40" t="s">
        <v>26</v>
      </c>
      <c r="E126" s="22" t="s">
        <v>26</v>
      </c>
      <c r="F126" s="39"/>
      <c r="G126" s="39"/>
      <c r="H126" s="39"/>
      <c r="I126" s="39"/>
    </row>
    <row r="127" spans="1:13" ht="18.75" customHeight="1" x14ac:dyDescent="0.25">
      <c r="A127" s="67" t="s">
        <v>159</v>
      </c>
      <c r="B127" s="64" t="s">
        <v>147</v>
      </c>
      <c r="C127" s="65">
        <v>26442</v>
      </c>
      <c r="D127" s="40" t="s">
        <v>26</v>
      </c>
      <c r="E127" s="22" t="s">
        <v>26</v>
      </c>
      <c r="F127" s="39"/>
      <c r="G127" s="39"/>
      <c r="H127" s="39"/>
      <c r="I127" s="39">
        <f t="shared" ref="G127:I128" si="13">I128+I130</f>
        <v>0</v>
      </c>
    </row>
    <row r="128" spans="1:13" ht="18.75" customHeight="1" x14ac:dyDescent="0.25">
      <c r="A128" s="67" t="s">
        <v>160</v>
      </c>
      <c r="B128" s="64" t="s">
        <v>161</v>
      </c>
      <c r="C128" s="65">
        <v>26450</v>
      </c>
      <c r="D128" s="40" t="s">
        <v>26</v>
      </c>
      <c r="E128" s="22" t="s">
        <v>26</v>
      </c>
      <c r="F128" s="39">
        <f>F129+F131</f>
        <v>127187.35</v>
      </c>
      <c r="G128" s="39">
        <f t="shared" si="13"/>
        <v>170362.5</v>
      </c>
      <c r="H128" s="39">
        <f t="shared" si="13"/>
        <v>170362.5</v>
      </c>
      <c r="I128" s="39"/>
    </row>
    <row r="129" spans="1:10" ht="25.5" customHeight="1" x14ac:dyDescent="0.25">
      <c r="A129" s="67" t="s">
        <v>162</v>
      </c>
      <c r="B129" s="64" t="s">
        <v>145</v>
      </c>
      <c r="C129" s="65">
        <v>26451</v>
      </c>
      <c r="D129" s="40" t="s">
        <v>26</v>
      </c>
      <c r="E129" s="22" t="s">
        <v>26</v>
      </c>
      <c r="F129" s="90">
        <f>119169.22+8018.13</f>
        <v>127187.35</v>
      </c>
      <c r="G129" s="90">
        <v>170362.5</v>
      </c>
      <c r="H129" s="90">
        <v>170362.5</v>
      </c>
      <c r="I129" s="39"/>
    </row>
    <row r="130" spans="1:10" ht="13.5" customHeight="1" x14ac:dyDescent="0.25">
      <c r="A130" s="67"/>
      <c r="B130" s="64" t="s">
        <v>136</v>
      </c>
      <c r="C130" s="65" t="s">
        <v>163</v>
      </c>
      <c r="D130" s="40" t="s">
        <v>26</v>
      </c>
      <c r="E130" s="22">
        <v>150</v>
      </c>
      <c r="F130" s="39"/>
      <c r="G130" s="39"/>
      <c r="H130" s="39"/>
      <c r="I130" s="39"/>
    </row>
    <row r="131" spans="1:10" ht="16.5" customHeight="1" x14ac:dyDescent="0.25">
      <c r="A131" s="67" t="s">
        <v>164</v>
      </c>
      <c r="B131" s="64" t="s">
        <v>147</v>
      </c>
      <c r="C131" s="65">
        <v>26452</v>
      </c>
      <c r="D131" s="40" t="s">
        <v>26</v>
      </c>
      <c r="E131" s="22" t="s">
        <v>26</v>
      </c>
      <c r="F131" s="39"/>
      <c r="G131" s="39"/>
      <c r="H131" s="39"/>
      <c r="I131" s="39">
        <f>I132</f>
        <v>0</v>
      </c>
    </row>
    <row r="132" spans="1:10" ht="44.25" customHeight="1" x14ac:dyDescent="0.25">
      <c r="A132" s="67" t="s">
        <v>165</v>
      </c>
      <c r="B132" s="64" t="s">
        <v>166</v>
      </c>
      <c r="C132" s="65">
        <v>26500</v>
      </c>
      <c r="D132" s="40" t="s">
        <v>26</v>
      </c>
      <c r="E132" s="22" t="s">
        <v>26</v>
      </c>
      <c r="F132" s="39">
        <f>F134+F135+F136</f>
        <v>803251.43</v>
      </c>
      <c r="G132" s="39">
        <f>G134+G135+G136</f>
        <v>1318554.3700000001</v>
      </c>
      <c r="H132" s="39">
        <f>H134+H135+H136</f>
        <v>1413754.37</v>
      </c>
      <c r="I132" s="39"/>
    </row>
    <row r="133" spans="1:10" ht="19.5" customHeight="1" x14ac:dyDescent="0.25">
      <c r="A133" s="67"/>
      <c r="B133" s="64" t="s">
        <v>167</v>
      </c>
      <c r="C133" s="65">
        <v>26510</v>
      </c>
      <c r="D133" s="40" t="s">
        <v>26</v>
      </c>
      <c r="E133" s="22" t="s">
        <v>26</v>
      </c>
      <c r="F133" s="39"/>
      <c r="G133" s="39"/>
      <c r="H133" s="39"/>
      <c r="I133" s="39"/>
    </row>
    <row r="134" spans="1:10" ht="17.25" customHeight="1" x14ac:dyDescent="0.25">
      <c r="A134" s="67" t="s">
        <v>168</v>
      </c>
      <c r="B134" s="64" t="s">
        <v>169</v>
      </c>
      <c r="C134" s="65">
        <v>26520</v>
      </c>
      <c r="D134" s="40">
        <v>2023</v>
      </c>
      <c r="E134" s="22"/>
      <c r="F134" s="39">
        <f>F115</f>
        <v>803251.43</v>
      </c>
      <c r="G134" s="39"/>
      <c r="H134" s="39"/>
      <c r="I134" s="39"/>
    </row>
    <row r="135" spans="1:10" ht="14.25" customHeight="1" x14ac:dyDescent="0.25">
      <c r="A135" s="67" t="s">
        <v>170</v>
      </c>
      <c r="B135" s="64" t="s">
        <v>169</v>
      </c>
      <c r="C135" s="65">
        <v>26530</v>
      </c>
      <c r="D135" s="40">
        <v>2024</v>
      </c>
      <c r="E135" s="22"/>
      <c r="F135" s="39"/>
      <c r="G135" s="39">
        <f>G115-G134-G136</f>
        <v>1318554.3700000001</v>
      </c>
      <c r="H135" s="39"/>
      <c r="I135" s="39"/>
    </row>
    <row r="136" spans="1:10" ht="15" customHeight="1" x14ac:dyDescent="0.25">
      <c r="A136" s="67" t="s">
        <v>171</v>
      </c>
      <c r="B136" s="64" t="s">
        <v>169</v>
      </c>
      <c r="C136" s="65">
        <v>26540</v>
      </c>
      <c r="D136" s="40">
        <v>2025</v>
      </c>
      <c r="E136" s="22"/>
      <c r="F136" s="39"/>
      <c r="G136" s="39"/>
      <c r="H136" s="39">
        <f>H115</f>
        <v>1413754.37</v>
      </c>
      <c r="I136" s="39">
        <f>I137+I138</f>
        <v>0</v>
      </c>
    </row>
    <row r="137" spans="1:10" ht="44.25" customHeight="1" x14ac:dyDescent="0.25">
      <c r="A137" s="67" t="s">
        <v>172</v>
      </c>
      <c r="B137" s="64" t="s">
        <v>173</v>
      </c>
      <c r="C137" s="65">
        <v>26600</v>
      </c>
      <c r="D137" s="40" t="s">
        <v>26</v>
      </c>
      <c r="E137" s="22" t="s">
        <v>26</v>
      </c>
      <c r="F137" s="39">
        <f>F138+F139</f>
        <v>0</v>
      </c>
      <c r="G137" s="39">
        <f>G138+G139</f>
        <v>0</v>
      </c>
      <c r="H137" s="39">
        <f>H138+H139</f>
        <v>0</v>
      </c>
      <c r="I137" s="39"/>
    </row>
    <row r="138" spans="1:10" x14ac:dyDescent="0.25">
      <c r="A138" s="67"/>
      <c r="B138" s="64" t="s">
        <v>167</v>
      </c>
      <c r="C138" s="65">
        <v>26610</v>
      </c>
      <c r="D138" s="40"/>
      <c r="E138" s="22"/>
      <c r="F138" s="39"/>
      <c r="G138" s="39"/>
      <c r="H138" s="39"/>
      <c r="I138" s="39"/>
    </row>
    <row r="139" spans="1:10" x14ac:dyDescent="0.25">
      <c r="A139" s="67"/>
      <c r="B139" s="64"/>
      <c r="C139" s="40"/>
      <c r="D139" s="40"/>
      <c r="E139" s="22"/>
      <c r="F139" s="39"/>
      <c r="G139" s="39"/>
      <c r="H139" s="39"/>
      <c r="I139" s="68"/>
    </row>
    <row r="140" spans="1:10" x14ac:dyDescent="0.25">
      <c r="A140" s="69"/>
      <c r="B140" s="70"/>
      <c r="C140" s="71"/>
      <c r="D140" s="71"/>
      <c r="E140" s="71"/>
      <c r="F140" s="71"/>
      <c r="G140" s="71"/>
      <c r="H140" s="71"/>
      <c r="I140" s="19"/>
    </row>
    <row r="141" spans="1:10" ht="18.75" x14ac:dyDescent="0.3">
      <c r="A141" s="72" t="s">
        <v>185</v>
      </c>
      <c r="B141" s="73"/>
      <c r="C141" s="73"/>
      <c r="D141" s="74"/>
      <c r="E141" s="21"/>
      <c r="F141" s="75" t="s">
        <v>186</v>
      </c>
      <c r="G141" s="75"/>
      <c r="H141" s="19"/>
      <c r="I141" s="19"/>
    </row>
    <row r="142" spans="1:10" ht="18.75" x14ac:dyDescent="0.25">
      <c r="A142" s="76"/>
      <c r="B142" s="76"/>
      <c r="C142" s="76"/>
      <c r="D142" s="77" t="s">
        <v>174</v>
      </c>
      <c r="E142" s="19"/>
      <c r="F142" s="78" t="s">
        <v>175</v>
      </c>
      <c r="G142" s="79"/>
      <c r="H142" s="19"/>
      <c r="I142" s="19"/>
      <c r="J142"/>
    </row>
    <row r="143" spans="1:10" ht="18.75" x14ac:dyDescent="0.3">
      <c r="A143" s="72"/>
      <c r="B143" s="73"/>
      <c r="C143" s="73"/>
      <c r="D143" s="74"/>
      <c r="E143" s="21"/>
      <c r="F143" s="75" t="s">
        <v>176</v>
      </c>
      <c r="G143" s="75"/>
      <c r="H143" s="19"/>
      <c r="I143" s="19"/>
      <c r="J143"/>
    </row>
    <row r="144" spans="1:10" ht="18.75" x14ac:dyDescent="0.25">
      <c r="A144" s="76" t="s">
        <v>177</v>
      </c>
      <c r="B144" s="76"/>
      <c r="C144" s="76"/>
      <c r="D144" s="77" t="s">
        <v>174</v>
      </c>
      <c r="E144" s="19"/>
      <c r="F144" s="78" t="s">
        <v>175</v>
      </c>
      <c r="G144" s="79"/>
      <c r="H144" s="19"/>
      <c r="I144" s="19"/>
      <c r="J144"/>
    </row>
    <row r="145" spans="1:10" ht="18.75" x14ac:dyDescent="0.25">
      <c r="A145" s="76"/>
      <c r="B145" s="76"/>
      <c r="C145" s="76"/>
      <c r="D145" s="77"/>
      <c r="E145" s="19"/>
      <c r="F145" s="78"/>
      <c r="G145" s="78"/>
      <c r="H145" s="19"/>
      <c r="I145" s="19"/>
      <c r="J145"/>
    </row>
    <row r="146" spans="1:10" ht="17.25" customHeight="1" x14ac:dyDescent="0.3">
      <c r="A146" s="80" t="s">
        <v>187</v>
      </c>
      <c r="B146" s="80"/>
      <c r="C146" s="80"/>
      <c r="D146" s="80"/>
      <c r="E146" s="81"/>
      <c r="F146" s="81"/>
      <c r="G146" s="73"/>
      <c r="H146" s="73"/>
      <c r="I146" s="73"/>
    </row>
    <row r="147" spans="1:10" ht="18.75" hidden="1" x14ac:dyDescent="0.3">
      <c r="A147" s="120" t="s">
        <v>178</v>
      </c>
      <c r="B147" s="120"/>
      <c r="C147" s="120"/>
      <c r="D147" s="120"/>
      <c r="E147" s="120"/>
      <c r="F147" s="7"/>
      <c r="G147" s="7"/>
      <c r="H147" s="7"/>
      <c r="I147" s="5"/>
    </row>
    <row r="148" spans="1:10" hidden="1" x14ac:dyDescent="0.25">
      <c r="C148" s="5"/>
      <c r="D148" s="5"/>
      <c r="E148" s="5"/>
      <c r="F148" s="5"/>
      <c r="G148" s="5"/>
      <c r="H148" s="5"/>
      <c r="I148" s="5"/>
    </row>
    <row r="149" spans="1:10" hidden="1" x14ac:dyDescent="0.25">
      <c r="C149" s="5"/>
      <c r="D149" s="5"/>
      <c r="E149" s="5"/>
      <c r="F149" s="5"/>
      <c r="G149" s="5"/>
      <c r="H149" s="5"/>
      <c r="I149" s="5"/>
    </row>
    <row r="150" spans="1:10" hidden="1" x14ac:dyDescent="0.25">
      <c r="C150" s="5"/>
      <c r="D150" s="5"/>
      <c r="E150" s="5"/>
      <c r="F150" s="5"/>
      <c r="G150" s="5"/>
      <c r="H150" s="5"/>
      <c r="I150" s="5"/>
    </row>
    <row r="151" spans="1:10" hidden="1" x14ac:dyDescent="0.25">
      <c r="C151" s="5"/>
      <c r="D151" s="5"/>
      <c r="E151" s="5"/>
      <c r="F151" s="5"/>
      <c r="G151" s="5"/>
      <c r="H151" s="5"/>
      <c r="I151" s="5"/>
    </row>
    <row r="152" spans="1:10" hidden="1" x14ac:dyDescent="0.25">
      <c r="C152" s="5"/>
      <c r="D152" s="5"/>
      <c r="E152" s="5"/>
      <c r="F152" s="5"/>
      <c r="G152" s="5"/>
      <c r="H152" s="5"/>
      <c r="I152" s="5"/>
    </row>
    <row r="153" spans="1:10" hidden="1" x14ac:dyDescent="0.25">
      <c r="C153" s="5"/>
      <c r="D153" s="5"/>
      <c r="E153" s="5"/>
      <c r="F153" s="5"/>
      <c r="G153" s="5"/>
      <c r="H153" s="5"/>
      <c r="I153" s="5"/>
    </row>
    <row r="154" spans="1:10" hidden="1" x14ac:dyDescent="0.25">
      <c r="C154" s="5"/>
      <c r="D154" s="5"/>
      <c r="E154" s="5"/>
      <c r="F154" s="5"/>
      <c r="G154" s="5"/>
      <c r="H154" s="5"/>
      <c r="I154" s="5"/>
    </row>
    <row r="155" spans="1:10" hidden="1" x14ac:dyDescent="0.25">
      <c r="C155" s="5"/>
      <c r="D155" s="5"/>
      <c r="E155" s="5"/>
      <c r="F155" s="5"/>
      <c r="G155" s="5"/>
      <c r="H155" s="5"/>
      <c r="I155" s="5"/>
    </row>
    <row r="156" spans="1:10" hidden="1" x14ac:dyDescent="0.25">
      <c r="C156" s="5"/>
      <c r="D156" s="5"/>
      <c r="E156" s="5"/>
      <c r="F156" s="5"/>
      <c r="G156" s="5"/>
      <c r="H156" s="5"/>
      <c r="I156" s="5"/>
    </row>
    <row r="157" spans="1:10" hidden="1" x14ac:dyDescent="0.25">
      <c r="C157" s="5"/>
      <c r="D157" s="5"/>
      <c r="E157" s="5"/>
      <c r="F157" s="5"/>
      <c r="G157" s="5"/>
      <c r="H157" s="5"/>
      <c r="I157" s="5"/>
    </row>
    <row r="158" spans="1:10" hidden="1" x14ac:dyDescent="0.25">
      <c r="C158" s="5"/>
      <c r="D158" s="5"/>
      <c r="E158" s="5"/>
      <c r="F158" s="5"/>
      <c r="G158" s="5"/>
      <c r="H158" s="5"/>
      <c r="I158" s="5"/>
    </row>
    <row r="159" spans="1:10" hidden="1" x14ac:dyDescent="0.25">
      <c r="C159" s="5"/>
      <c r="D159" s="5"/>
      <c r="E159" s="5"/>
      <c r="F159" s="5"/>
      <c r="G159" s="5"/>
      <c r="H159" s="5"/>
      <c r="I159" s="5"/>
    </row>
    <row r="160" spans="1:10" hidden="1" x14ac:dyDescent="0.25">
      <c r="C160" s="5"/>
      <c r="D160" s="5"/>
      <c r="E160" s="5"/>
      <c r="F160" s="5"/>
      <c r="G160" s="5"/>
      <c r="H160" s="5"/>
      <c r="I160" s="5"/>
    </row>
    <row r="161" spans="3:9" hidden="1" x14ac:dyDescent="0.25">
      <c r="C161" s="5"/>
      <c r="D161" s="5"/>
      <c r="E161" s="5"/>
      <c r="F161" s="5"/>
      <c r="G161" s="5"/>
      <c r="H161" s="5"/>
      <c r="I161" s="5"/>
    </row>
    <row r="162" spans="3:9" x14ac:dyDescent="0.25">
      <c r="C162" s="5"/>
      <c r="D162" s="5"/>
      <c r="E162" s="5"/>
      <c r="F162" s="5"/>
      <c r="G162" s="5"/>
      <c r="H162" s="5"/>
    </row>
    <row r="163" spans="3:9" x14ac:dyDescent="0.25">
      <c r="E163" s="5"/>
    </row>
  </sheetData>
  <mergeCells count="101">
    <mergeCell ref="F2:I3"/>
    <mergeCell ref="F5:I5"/>
    <mergeCell ref="B8:I8"/>
    <mergeCell ref="B9:I9"/>
    <mergeCell ref="B11:H11"/>
    <mergeCell ref="B13:F14"/>
    <mergeCell ref="A24:B24"/>
    <mergeCell ref="A25:B25"/>
    <mergeCell ref="A26:B26"/>
    <mergeCell ref="A27:B27"/>
    <mergeCell ref="A28:B28"/>
    <mergeCell ref="A29:B29"/>
    <mergeCell ref="B16:F17"/>
    <mergeCell ref="B20:I20"/>
    <mergeCell ref="A21:B23"/>
    <mergeCell ref="C21:C23"/>
    <mergeCell ref="D21:D23"/>
    <mergeCell ref="E21:E23"/>
    <mergeCell ref="F21:I21"/>
    <mergeCell ref="I22:I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96:B96"/>
    <mergeCell ref="A97:B97"/>
    <mergeCell ref="A98:B98"/>
    <mergeCell ref="A99:B99"/>
    <mergeCell ref="A100:B100"/>
    <mergeCell ref="A102:H102"/>
    <mergeCell ref="A90:B90"/>
    <mergeCell ref="A91:B91"/>
    <mergeCell ref="A92:B92"/>
    <mergeCell ref="A93:B93"/>
    <mergeCell ref="A94:B94"/>
    <mergeCell ref="A95:B95"/>
    <mergeCell ref="A147:E147"/>
    <mergeCell ref="A104:A106"/>
    <mergeCell ref="B104:B106"/>
    <mergeCell ref="C104:C106"/>
    <mergeCell ref="D104:D106"/>
    <mergeCell ref="E104:E106"/>
    <mergeCell ref="F104:I104"/>
    <mergeCell ref="F105:F106"/>
    <mergeCell ref="I105:I106"/>
  </mergeCells>
  <pageMargins left="0.47244094488188981" right="1.1811023622047245" top="0.59055118110236227" bottom="0.39370078740157483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63"/>
  <sheetViews>
    <sheetView topLeftCell="C112" zoomScaleNormal="100" zoomScaleSheetLayoutView="100" workbookViewId="0">
      <selection activeCell="M123" sqref="M123"/>
    </sheetView>
  </sheetViews>
  <sheetFormatPr defaultColWidth="9.140625" defaultRowHeight="15.75" x14ac:dyDescent="0.25"/>
  <cols>
    <col min="1" max="1" width="7.85546875" style="3" customWidth="1"/>
    <col min="2" max="2" width="62.28515625" style="1" customWidth="1"/>
    <col min="3" max="3" width="7" style="1" customWidth="1"/>
    <col min="4" max="4" width="11.42578125" style="1" customWidth="1"/>
    <col min="5" max="5" width="11.28515625" style="1" customWidth="1"/>
    <col min="6" max="8" width="14" style="1" customWidth="1"/>
    <col min="9" max="9" width="11.7109375" style="1" customWidth="1"/>
    <col min="10" max="10" width="14.28515625" style="2" bestFit="1" customWidth="1"/>
    <col min="11" max="12" width="9.140625" style="2"/>
    <col min="13" max="13" width="29.7109375" style="2" customWidth="1"/>
    <col min="14" max="16384" width="9.140625" style="2"/>
  </cols>
  <sheetData>
    <row r="1" spans="1:9" ht="15" customHeight="1" x14ac:dyDescent="0.25">
      <c r="A1" s="18"/>
      <c r="B1" s="19"/>
      <c r="C1" s="19"/>
      <c r="D1" s="19"/>
      <c r="E1" s="19"/>
      <c r="F1" s="19"/>
      <c r="G1" s="19"/>
      <c r="H1" s="19"/>
      <c r="I1" s="93" t="s">
        <v>0</v>
      </c>
    </row>
    <row r="2" spans="1:9" ht="15" customHeight="1" x14ac:dyDescent="0.25">
      <c r="A2" s="18"/>
      <c r="B2" s="19"/>
      <c r="C2" s="19"/>
      <c r="D2" s="19"/>
      <c r="E2" s="19"/>
      <c r="F2" s="170" t="s">
        <v>1</v>
      </c>
      <c r="G2" s="170"/>
      <c r="H2" s="170"/>
      <c r="I2" s="170"/>
    </row>
    <row r="3" spans="1:9" ht="15" customHeight="1" x14ac:dyDescent="0.25">
      <c r="A3" s="18"/>
      <c r="B3" s="19"/>
      <c r="C3" s="19"/>
      <c r="D3" s="19"/>
      <c r="E3" s="19"/>
      <c r="F3" s="170"/>
      <c r="G3" s="170"/>
      <c r="H3" s="170"/>
      <c r="I3" s="170"/>
    </row>
    <row r="4" spans="1:9" ht="15" customHeight="1" x14ac:dyDescent="0.25">
      <c r="A4" s="18"/>
      <c r="B4" s="19"/>
      <c r="C4" s="19"/>
      <c r="D4" s="19"/>
      <c r="E4" s="19"/>
      <c r="F4" s="19"/>
      <c r="G4" s="19"/>
      <c r="H4" s="19"/>
      <c r="I4" s="93" t="s">
        <v>2</v>
      </c>
    </row>
    <row r="5" spans="1:9" ht="15" customHeight="1" x14ac:dyDescent="0.25">
      <c r="A5" s="18"/>
      <c r="B5" s="19"/>
      <c r="C5" s="19"/>
      <c r="D5" s="19"/>
      <c r="E5" s="19"/>
      <c r="F5" s="167" t="s">
        <v>201</v>
      </c>
      <c r="G5" s="167"/>
      <c r="H5" s="167"/>
      <c r="I5" s="167"/>
    </row>
    <row r="6" spans="1:9" ht="15" customHeight="1" x14ac:dyDescent="0.25">
      <c r="A6" s="18"/>
      <c r="B6" s="19"/>
      <c r="C6" s="19"/>
      <c r="D6" s="19"/>
      <c r="E6" s="19"/>
      <c r="F6" s="19"/>
      <c r="G6" s="19"/>
      <c r="H6" s="19"/>
      <c r="I6" s="93"/>
    </row>
    <row r="7" spans="1:9" ht="15" customHeight="1" x14ac:dyDescent="0.25">
      <c r="A7" s="18"/>
      <c r="B7" s="19"/>
      <c r="C7" s="19"/>
      <c r="D7" s="19"/>
      <c r="E7" s="19"/>
      <c r="F7" s="19"/>
      <c r="G7" s="19"/>
      <c r="H7" s="19"/>
      <c r="I7" s="19"/>
    </row>
    <row r="8" spans="1:9" ht="15" customHeight="1" x14ac:dyDescent="0.3">
      <c r="A8" s="18"/>
      <c r="B8" s="168" t="s">
        <v>197</v>
      </c>
      <c r="C8" s="168"/>
      <c r="D8" s="168"/>
      <c r="E8" s="168"/>
      <c r="F8" s="168"/>
      <c r="G8" s="168"/>
      <c r="H8" s="168"/>
      <c r="I8" s="168"/>
    </row>
    <row r="9" spans="1:9" ht="15" customHeight="1" x14ac:dyDescent="0.3">
      <c r="A9" s="18"/>
      <c r="B9" s="168" t="s">
        <v>192</v>
      </c>
      <c r="C9" s="168"/>
      <c r="D9" s="168"/>
      <c r="E9" s="168"/>
      <c r="F9" s="168"/>
      <c r="G9" s="168"/>
      <c r="H9" s="168"/>
      <c r="I9" s="168"/>
    </row>
    <row r="10" spans="1:9" ht="15" customHeight="1" x14ac:dyDescent="0.25">
      <c r="A10" s="18"/>
      <c r="B10" s="19"/>
      <c r="C10" s="19"/>
      <c r="D10" s="19"/>
      <c r="E10" s="19"/>
      <c r="F10" s="19"/>
      <c r="G10" s="19"/>
      <c r="H10" s="19"/>
      <c r="I10" s="21"/>
    </row>
    <row r="11" spans="1:9" ht="15" customHeight="1" x14ac:dyDescent="0.25">
      <c r="A11" s="18"/>
      <c r="B11" s="169" t="s">
        <v>202</v>
      </c>
      <c r="C11" s="169"/>
      <c r="D11" s="169"/>
      <c r="E11" s="169"/>
      <c r="F11" s="169"/>
      <c r="G11" s="169"/>
      <c r="H11" s="169"/>
      <c r="I11" s="22" t="s">
        <v>4</v>
      </c>
    </row>
    <row r="12" spans="1:9" ht="15" customHeight="1" x14ac:dyDescent="0.25">
      <c r="A12" s="18"/>
      <c r="B12" s="19"/>
      <c r="C12" s="19"/>
      <c r="D12" s="19"/>
      <c r="E12" s="19"/>
      <c r="F12" s="19"/>
      <c r="G12" s="19"/>
      <c r="H12" s="23" t="s">
        <v>5</v>
      </c>
      <c r="I12" s="24">
        <v>45040</v>
      </c>
    </row>
    <row r="13" spans="1:9" ht="15" customHeight="1" x14ac:dyDescent="0.25">
      <c r="A13" s="18"/>
      <c r="B13" s="154" t="s">
        <v>6</v>
      </c>
      <c r="C13" s="154"/>
      <c r="D13" s="154"/>
      <c r="E13" s="154"/>
      <c r="F13" s="154"/>
      <c r="G13" s="19"/>
      <c r="H13" s="23" t="s">
        <v>7</v>
      </c>
      <c r="I13" s="22"/>
    </row>
    <row r="14" spans="1:9" ht="15" customHeight="1" x14ac:dyDescent="0.25">
      <c r="A14" s="18"/>
      <c r="B14" s="154"/>
      <c r="C14" s="154"/>
      <c r="D14" s="154"/>
      <c r="E14" s="154"/>
      <c r="F14" s="154"/>
      <c r="G14" s="25"/>
      <c r="H14" s="26" t="s">
        <v>8</v>
      </c>
      <c r="I14" s="27">
        <v>925</v>
      </c>
    </row>
    <row r="15" spans="1:9" ht="15" customHeight="1" x14ac:dyDescent="0.25">
      <c r="A15" s="18"/>
      <c r="B15" s="19"/>
      <c r="C15" s="19"/>
      <c r="D15" s="19"/>
      <c r="E15" s="19"/>
      <c r="F15" s="19"/>
      <c r="G15" s="19"/>
      <c r="H15" s="23" t="s">
        <v>7</v>
      </c>
      <c r="I15" s="22"/>
    </row>
    <row r="16" spans="1:9" ht="15" customHeight="1" x14ac:dyDescent="0.25">
      <c r="A16" s="18"/>
      <c r="B16" s="154" t="s">
        <v>184</v>
      </c>
      <c r="C16" s="154"/>
      <c r="D16" s="154"/>
      <c r="E16" s="154"/>
      <c r="F16" s="154"/>
      <c r="G16" s="25"/>
      <c r="H16" s="23" t="s">
        <v>9</v>
      </c>
      <c r="I16" s="22">
        <v>2329020879</v>
      </c>
    </row>
    <row r="17" spans="1:9" ht="15" customHeight="1" x14ac:dyDescent="0.25">
      <c r="A17" s="18"/>
      <c r="B17" s="154"/>
      <c r="C17" s="154"/>
      <c r="D17" s="154"/>
      <c r="E17" s="154"/>
      <c r="F17" s="154"/>
      <c r="G17" s="19"/>
      <c r="H17" s="23" t="s">
        <v>10</v>
      </c>
      <c r="I17" s="22">
        <v>232901001</v>
      </c>
    </row>
    <row r="18" spans="1:9" ht="15" customHeight="1" x14ac:dyDescent="0.25">
      <c r="A18" s="18"/>
      <c r="B18" s="19" t="s">
        <v>11</v>
      </c>
      <c r="C18" s="19"/>
      <c r="D18" s="19"/>
      <c r="E18" s="19"/>
      <c r="F18" s="19"/>
      <c r="G18" s="19"/>
      <c r="H18" s="23" t="s">
        <v>12</v>
      </c>
      <c r="I18" s="22">
        <v>383</v>
      </c>
    </row>
    <row r="19" spans="1:9" ht="15" customHeight="1" x14ac:dyDescent="0.25">
      <c r="A19" s="18"/>
      <c r="B19" s="19"/>
      <c r="C19" s="19"/>
      <c r="D19" s="19"/>
      <c r="E19" s="19"/>
      <c r="F19" s="19"/>
      <c r="G19" s="19"/>
      <c r="H19" s="23"/>
      <c r="I19" s="28"/>
    </row>
    <row r="20" spans="1:9" ht="15" customHeight="1" x14ac:dyDescent="0.25">
      <c r="A20" s="18"/>
      <c r="B20" s="155" t="s">
        <v>13</v>
      </c>
      <c r="C20" s="155"/>
      <c r="D20" s="155"/>
      <c r="E20" s="155"/>
      <c r="F20" s="155"/>
      <c r="G20" s="155"/>
      <c r="H20" s="155"/>
      <c r="I20" s="155"/>
    </row>
    <row r="21" spans="1:9" s="4" customFormat="1" ht="13.5" customHeight="1" x14ac:dyDescent="0.25">
      <c r="A21" s="156" t="s">
        <v>14</v>
      </c>
      <c r="B21" s="157"/>
      <c r="C21" s="130" t="s">
        <v>15</v>
      </c>
      <c r="D21" s="130" t="s">
        <v>16</v>
      </c>
      <c r="E21" s="130" t="s">
        <v>17</v>
      </c>
      <c r="F21" s="163" t="s">
        <v>18</v>
      </c>
      <c r="G21" s="164"/>
      <c r="H21" s="164"/>
      <c r="I21" s="165"/>
    </row>
    <row r="22" spans="1:9" s="4" customFormat="1" ht="15" customHeight="1" x14ac:dyDescent="0.25">
      <c r="A22" s="158"/>
      <c r="B22" s="159"/>
      <c r="C22" s="162"/>
      <c r="D22" s="162"/>
      <c r="E22" s="162"/>
      <c r="F22" s="94" t="s">
        <v>19</v>
      </c>
      <c r="G22" s="94" t="s">
        <v>179</v>
      </c>
      <c r="H22" s="94" t="s">
        <v>193</v>
      </c>
      <c r="I22" s="130" t="s">
        <v>20</v>
      </c>
    </row>
    <row r="23" spans="1:9" s="4" customFormat="1" ht="60" customHeight="1" x14ac:dyDescent="0.25">
      <c r="A23" s="160"/>
      <c r="B23" s="161"/>
      <c r="C23" s="131"/>
      <c r="D23" s="131"/>
      <c r="E23" s="131"/>
      <c r="F23" s="94" t="s">
        <v>21</v>
      </c>
      <c r="G23" s="94" t="s">
        <v>22</v>
      </c>
      <c r="H23" s="94" t="s">
        <v>23</v>
      </c>
      <c r="I23" s="131"/>
    </row>
    <row r="24" spans="1:9" s="4" customFormat="1" ht="12.75" customHeight="1" x14ac:dyDescent="0.25">
      <c r="A24" s="153">
        <v>1</v>
      </c>
      <c r="B24" s="153"/>
      <c r="C24" s="95">
        <v>2</v>
      </c>
      <c r="D24" s="95">
        <v>3</v>
      </c>
      <c r="E24" s="95">
        <v>4</v>
      </c>
      <c r="F24" s="94">
        <v>5</v>
      </c>
      <c r="G24" s="94">
        <v>6</v>
      </c>
      <c r="H24" s="94">
        <v>7</v>
      </c>
      <c r="I24" s="95">
        <v>8</v>
      </c>
    </row>
    <row r="25" spans="1:9" s="4" customFormat="1" ht="15" customHeight="1" x14ac:dyDescent="0.25">
      <c r="A25" s="148" t="s">
        <v>24</v>
      </c>
      <c r="B25" s="148"/>
      <c r="C25" s="32" t="s">
        <v>25</v>
      </c>
      <c r="D25" s="32" t="s">
        <v>26</v>
      </c>
      <c r="E25" s="94" t="s">
        <v>26</v>
      </c>
      <c r="F25" s="89">
        <f>180978.76+5255.14</f>
        <v>186233.90000000002</v>
      </c>
      <c r="G25" s="33">
        <v>0</v>
      </c>
      <c r="H25" s="33">
        <v>0</v>
      </c>
      <c r="I25" s="33">
        <v>0</v>
      </c>
    </row>
    <row r="26" spans="1:9" s="4" customFormat="1" ht="15" customHeight="1" x14ac:dyDescent="0.25">
      <c r="A26" s="148" t="s">
        <v>27</v>
      </c>
      <c r="B26" s="148"/>
      <c r="C26" s="32" t="s">
        <v>28</v>
      </c>
      <c r="D26" s="32" t="s">
        <v>26</v>
      </c>
      <c r="E26" s="94" t="s">
        <v>26</v>
      </c>
      <c r="F26" s="33">
        <f>F27+F25-F48-F99+F95</f>
        <v>0</v>
      </c>
      <c r="G26" s="33">
        <f>G27+G25-G48-G99+G95</f>
        <v>0</v>
      </c>
      <c r="H26" s="33">
        <f>H27+H25-H48-H99+H95</f>
        <v>9.3132257461547852E-10</v>
      </c>
      <c r="I26" s="33">
        <v>0</v>
      </c>
    </row>
    <row r="27" spans="1:9" s="4" customFormat="1" ht="15" customHeight="1" x14ac:dyDescent="0.2">
      <c r="A27" s="145" t="s">
        <v>29</v>
      </c>
      <c r="B27" s="145"/>
      <c r="C27" s="34" t="s">
        <v>30</v>
      </c>
      <c r="D27" s="35"/>
      <c r="E27" s="36">
        <v>100</v>
      </c>
      <c r="F27" s="37">
        <f>F28+F29+F33+F34+F45+F46+F42</f>
        <v>4470934.07</v>
      </c>
      <c r="G27" s="37">
        <f>G28+G29+G33+G34+G45+G46+G42</f>
        <v>4544323.7700000005</v>
      </c>
      <c r="H27" s="37">
        <f>H28+H29+H33+H45+H46+H42</f>
        <v>4639523.7700000005</v>
      </c>
      <c r="I27" s="37">
        <f>I28+I29+I33+I34+I44+I45</f>
        <v>0</v>
      </c>
    </row>
    <row r="28" spans="1:9" s="4" customFormat="1" ht="26.25" customHeight="1" x14ac:dyDescent="0.25">
      <c r="A28" s="148" t="s">
        <v>31</v>
      </c>
      <c r="B28" s="148"/>
      <c r="C28" s="38" t="s">
        <v>32</v>
      </c>
      <c r="D28" s="32" t="s">
        <v>33</v>
      </c>
      <c r="E28" s="94"/>
      <c r="F28" s="33"/>
      <c r="G28" s="33"/>
      <c r="H28" s="33"/>
      <c r="I28" s="33"/>
    </row>
    <row r="29" spans="1:9" s="4" customFormat="1" ht="15" customHeight="1" x14ac:dyDescent="0.25">
      <c r="A29" s="148" t="s">
        <v>34</v>
      </c>
      <c r="B29" s="148"/>
      <c r="C29" s="32" t="s">
        <v>35</v>
      </c>
      <c r="D29" s="32" t="s">
        <v>36</v>
      </c>
      <c r="E29" s="94">
        <v>131</v>
      </c>
      <c r="F29" s="33">
        <f>F30+F32+F43+F45</f>
        <v>4065034.0700000003</v>
      </c>
      <c r="G29" s="33">
        <f>G30+G32+G43+G45</f>
        <v>4051223.7700000005</v>
      </c>
      <c r="H29" s="33">
        <f>H30+H32+H43+H45+H35</f>
        <v>4639523.7700000005</v>
      </c>
      <c r="I29" s="33">
        <f t="shared" ref="I29" si="0">SUM(I30:I32)</f>
        <v>0</v>
      </c>
    </row>
    <row r="30" spans="1:9" s="4" customFormat="1" ht="61.5" customHeight="1" x14ac:dyDescent="0.25">
      <c r="A30" s="148" t="s">
        <v>37</v>
      </c>
      <c r="B30" s="148"/>
      <c r="C30" s="32" t="s">
        <v>38</v>
      </c>
      <c r="D30" s="32" t="s">
        <v>36</v>
      </c>
      <c r="E30" s="94"/>
      <c r="F30" s="89">
        <f>2184433.1+1521494.77+172500+160796.99+13677+11750.71-172500</f>
        <v>3892152.5700000003</v>
      </c>
      <c r="G30" s="89">
        <f>3927840.37-170362.5+111449.66+11933.74</f>
        <v>3880861.2700000005</v>
      </c>
      <c r="H30" s="89">
        <f>3969440.37-170362.5+111449.66+11933.74</f>
        <v>3922461.2700000005</v>
      </c>
      <c r="I30" s="33"/>
    </row>
    <row r="31" spans="1:9" s="4" customFormat="1" ht="48" customHeight="1" x14ac:dyDescent="0.25">
      <c r="A31" s="148" t="s">
        <v>39</v>
      </c>
      <c r="B31" s="148"/>
      <c r="C31" s="32" t="s">
        <v>40</v>
      </c>
      <c r="D31" s="32" t="s">
        <v>36</v>
      </c>
      <c r="E31" s="94"/>
      <c r="F31" s="33"/>
      <c r="G31" s="33"/>
      <c r="H31" s="33"/>
      <c r="I31" s="33"/>
    </row>
    <row r="32" spans="1:9" s="4" customFormat="1" ht="47.25" customHeight="1" x14ac:dyDescent="0.25">
      <c r="A32" s="148" t="s">
        <v>41</v>
      </c>
      <c r="B32" s="148"/>
      <c r="C32" s="32" t="s">
        <v>42</v>
      </c>
      <c r="D32" s="32" t="s">
        <v>36</v>
      </c>
      <c r="E32" s="94"/>
      <c r="F32" s="89">
        <f>170362.5+1013+1506</f>
        <v>172881.5</v>
      </c>
      <c r="G32" s="89">
        <v>170362.5</v>
      </c>
      <c r="H32" s="89">
        <v>170362.5</v>
      </c>
      <c r="I32" s="33"/>
    </row>
    <row r="33" spans="1:9" s="4" customFormat="1" ht="15" customHeight="1" x14ac:dyDescent="0.25">
      <c r="A33" s="148" t="s">
        <v>43</v>
      </c>
      <c r="B33" s="148"/>
      <c r="C33" s="32" t="s">
        <v>44</v>
      </c>
      <c r="D33" s="32" t="s">
        <v>45</v>
      </c>
      <c r="E33" s="94"/>
      <c r="F33" s="33"/>
      <c r="G33" s="33"/>
      <c r="H33" s="33"/>
      <c r="I33" s="33"/>
    </row>
    <row r="34" spans="1:9" s="4" customFormat="1" ht="15" customHeight="1" x14ac:dyDescent="0.25">
      <c r="A34" s="148" t="s">
        <v>46</v>
      </c>
      <c r="B34" s="148"/>
      <c r="C34" s="32" t="s">
        <v>47</v>
      </c>
      <c r="D34" s="32" t="s">
        <v>48</v>
      </c>
      <c r="E34" s="94"/>
      <c r="F34" s="33">
        <f>F35</f>
        <v>405900</v>
      </c>
      <c r="G34" s="33">
        <f>G35</f>
        <v>493100</v>
      </c>
      <c r="H34" s="33">
        <f>H35</f>
        <v>546700</v>
      </c>
      <c r="I34" s="33"/>
    </row>
    <row r="35" spans="1:9" s="4" customFormat="1" ht="15" customHeight="1" x14ac:dyDescent="0.25">
      <c r="A35" s="148" t="s">
        <v>49</v>
      </c>
      <c r="B35" s="148"/>
      <c r="C35" s="32" t="s">
        <v>50</v>
      </c>
      <c r="D35" s="32" t="s">
        <v>48</v>
      </c>
      <c r="E35" s="94"/>
      <c r="F35" s="33">
        <f>SUM(F36:F40)</f>
        <v>405900</v>
      </c>
      <c r="G35" s="33">
        <f>SUM(G36:G40)</f>
        <v>493100</v>
      </c>
      <c r="H35" s="33">
        <f>SUM(H36:H40)</f>
        <v>546700</v>
      </c>
      <c r="I35" s="33"/>
    </row>
    <row r="36" spans="1:9" s="4" customFormat="1" ht="27" customHeight="1" x14ac:dyDescent="0.25">
      <c r="A36" s="149" t="s">
        <v>195</v>
      </c>
      <c r="B36" s="150"/>
      <c r="C36" s="32"/>
      <c r="D36" s="32"/>
      <c r="E36" s="94"/>
      <c r="F36" s="89">
        <f>246900-10000</f>
        <v>236900</v>
      </c>
      <c r="G36" s="89">
        <v>236900</v>
      </c>
      <c r="H36" s="89">
        <v>236900</v>
      </c>
      <c r="I36" s="33"/>
    </row>
    <row r="37" spans="1:9" s="4" customFormat="1" ht="26.25" customHeight="1" x14ac:dyDescent="0.25">
      <c r="A37" s="151" t="s">
        <v>196</v>
      </c>
      <c r="B37" s="152"/>
      <c r="C37" s="32"/>
      <c r="D37" s="32"/>
      <c r="E37" s="94"/>
      <c r="F37" s="89">
        <v>10000</v>
      </c>
      <c r="G37" s="89">
        <v>10000</v>
      </c>
      <c r="H37" s="89">
        <v>10000</v>
      </c>
      <c r="I37" s="33"/>
    </row>
    <row r="38" spans="1:9" s="4" customFormat="1" ht="35.25" customHeight="1" x14ac:dyDescent="0.25">
      <c r="A38" s="148" t="s">
        <v>183</v>
      </c>
      <c r="B38" s="148"/>
      <c r="C38" s="32"/>
      <c r="D38" s="32"/>
      <c r="E38" s="94"/>
      <c r="F38" s="89">
        <v>23700</v>
      </c>
      <c r="G38" s="89">
        <v>23700</v>
      </c>
      <c r="H38" s="89">
        <v>23700</v>
      </c>
      <c r="I38" s="33"/>
    </row>
    <row r="39" spans="1:9" s="4" customFormat="1" ht="39" customHeight="1" x14ac:dyDescent="0.25">
      <c r="A39" s="148" t="s">
        <v>180</v>
      </c>
      <c r="B39" s="148"/>
      <c r="C39" s="32"/>
      <c r="D39" s="32"/>
      <c r="E39" s="94"/>
      <c r="F39" s="89">
        <v>70700</v>
      </c>
      <c r="G39" s="89">
        <v>70700</v>
      </c>
      <c r="H39" s="89">
        <v>70700</v>
      </c>
      <c r="I39" s="33"/>
    </row>
    <row r="40" spans="1:9" s="4" customFormat="1" ht="42" customHeight="1" x14ac:dyDescent="0.25">
      <c r="A40" s="148" t="s">
        <v>181</v>
      </c>
      <c r="B40" s="148"/>
      <c r="C40" s="32"/>
      <c r="D40" s="32"/>
      <c r="E40" s="94"/>
      <c r="F40" s="89">
        <f>32300+32300</f>
        <v>64600</v>
      </c>
      <c r="G40" s="89">
        <v>151800</v>
      </c>
      <c r="H40" s="89">
        <v>205400</v>
      </c>
      <c r="I40" s="33"/>
    </row>
    <row r="41" spans="1:9" s="4" customFormat="1" ht="19.5" customHeight="1" x14ac:dyDescent="0.25">
      <c r="A41" s="148" t="s">
        <v>51</v>
      </c>
      <c r="B41" s="148"/>
      <c r="C41" s="32" t="s">
        <v>52</v>
      </c>
      <c r="D41" s="32" t="s">
        <v>48</v>
      </c>
      <c r="E41" s="94"/>
      <c r="F41" s="33"/>
      <c r="G41" s="33"/>
      <c r="H41" s="33"/>
      <c r="I41" s="33"/>
    </row>
    <row r="42" spans="1:9" s="4" customFormat="1" ht="43.5" customHeight="1" x14ac:dyDescent="0.25">
      <c r="A42" s="146" t="s">
        <v>53</v>
      </c>
      <c r="B42" s="147"/>
      <c r="C42" s="32" t="s">
        <v>54</v>
      </c>
      <c r="D42" s="32" t="s">
        <v>48</v>
      </c>
      <c r="E42" s="94"/>
      <c r="F42" s="33"/>
      <c r="G42" s="33"/>
      <c r="H42" s="33"/>
      <c r="I42" s="33"/>
    </row>
    <row r="43" spans="1:9" s="4" customFormat="1" ht="15" customHeight="1" x14ac:dyDescent="0.25">
      <c r="A43" s="148" t="s">
        <v>55</v>
      </c>
      <c r="B43" s="148"/>
      <c r="C43" s="32" t="s">
        <v>56</v>
      </c>
      <c r="D43" s="32" t="s">
        <v>57</v>
      </c>
      <c r="E43" s="94"/>
      <c r="F43" s="33"/>
      <c r="G43" s="33"/>
      <c r="H43" s="33"/>
      <c r="I43" s="33"/>
    </row>
    <row r="44" spans="1:9" s="4" customFormat="1" ht="15" customHeight="1" x14ac:dyDescent="0.25">
      <c r="A44" s="146" t="s">
        <v>58</v>
      </c>
      <c r="B44" s="147"/>
      <c r="C44" s="32"/>
      <c r="D44" s="32"/>
      <c r="E44" s="94"/>
      <c r="F44" s="33"/>
      <c r="G44" s="33"/>
      <c r="H44" s="33"/>
      <c r="I44" s="33"/>
    </row>
    <row r="45" spans="1:9" s="4" customFormat="1" ht="15" customHeight="1" x14ac:dyDescent="0.25">
      <c r="A45" s="148" t="s">
        <v>59</v>
      </c>
      <c r="B45" s="148"/>
      <c r="C45" s="32" t="s">
        <v>60</v>
      </c>
      <c r="D45" s="32" t="s">
        <v>61</v>
      </c>
      <c r="E45" s="94"/>
      <c r="F45" s="33"/>
      <c r="G45" s="33"/>
      <c r="H45" s="33"/>
      <c r="I45" s="33"/>
    </row>
    <row r="46" spans="1:9" s="4" customFormat="1" ht="17.25" customHeight="1" x14ac:dyDescent="0.25">
      <c r="A46" s="148" t="s">
        <v>62</v>
      </c>
      <c r="B46" s="148"/>
      <c r="C46" s="32" t="s">
        <v>63</v>
      </c>
      <c r="D46" s="32" t="s">
        <v>26</v>
      </c>
      <c r="E46" s="94"/>
      <c r="F46" s="33"/>
      <c r="G46" s="33"/>
      <c r="H46" s="33"/>
      <c r="I46" s="33" t="s">
        <v>26</v>
      </c>
    </row>
    <row r="47" spans="1:9" s="4" customFormat="1" ht="42" customHeight="1" x14ac:dyDescent="0.25">
      <c r="A47" s="148" t="s">
        <v>64</v>
      </c>
      <c r="B47" s="148"/>
      <c r="C47" s="32" t="s">
        <v>65</v>
      </c>
      <c r="D47" s="32" t="s">
        <v>66</v>
      </c>
      <c r="E47" s="94"/>
      <c r="F47" s="33"/>
      <c r="G47" s="33"/>
      <c r="H47" s="33"/>
      <c r="I47" s="37"/>
    </row>
    <row r="48" spans="1:9" s="4" customFormat="1" ht="30" customHeight="1" x14ac:dyDescent="0.25">
      <c r="A48" s="145" t="s">
        <v>67</v>
      </c>
      <c r="B48" s="145"/>
      <c r="C48" s="35" t="s">
        <v>68</v>
      </c>
      <c r="D48" s="35" t="s">
        <v>26</v>
      </c>
      <c r="E48" s="36">
        <v>200</v>
      </c>
      <c r="F48" s="37">
        <f>F49+F59+F66+F70+F77+F79</f>
        <v>4654648.9700000007</v>
      </c>
      <c r="G48" s="37">
        <f>G49+G59+G66+G70+G77+G79</f>
        <v>4544323.7700000005</v>
      </c>
      <c r="H48" s="37">
        <f>H49+H59+H66+H70+H77+H79</f>
        <v>4639523.7699999996</v>
      </c>
      <c r="I48" s="39" t="s">
        <v>26</v>
      </c>
    </row>
    <row r="49" spans="1:9" s="4" customFormat="1" ht="25.5" customHeight="1" x14ac:dyDescent="0.25">
      <c r="A49" s="143" t="s">
        <v>69</v>
      </c>
      <c r="B49" s="143"/>
      <c r="C49" s="40">
        <v>2100</v>
      </c>
      <c r="D49" s="35" t="s">
        <v>26</v>
      </c>
      <c r="E49" s="40">
        <v>210</v>
      </c>
      <c r="F49" s="39">
        <f>F50+F51+F52+F53+F54+F55+F56</f>
        <v>3241673.7000000007</v>
      </c>
      <c r="G49" s="39">
        <f>G50+G51+G52+G53+G54+G55+G56</f>
        <v>3193009.4000000004</v>
      </c>
      <c r="H49" s="39">
        <f>H50+H51+H52+H53+H54+H55+H56</f>
        <v>3193009.4</v>
      </c>
      <c r="I49" s="39" t="s">
        <v>26</v>
      </c>
    </row>
    <row r="50" spans="1:9" s="4" customFormat="1" ht="30" customHeight="1" x14ac:dyDescent="0.25">
      <c r="A50" s="144" t="s">
        <v>70</v>
      </c>
      <c r="B50" s="144"/>
      <c r="C50" s="40">
        <v>2110</v>
      </c>
      <c r="D50" s="40">
        <v>111</v>
      </c>
      <c r="E50" s="40">
        <v>211</v>
      </c>
      <c r="F50" s="90">
        <f>1023246+1152426.81+84754.22+97196.62-603.62+785.91-384.02+1159.75+123499.99+9025.12</f>
        <v>2491106.7800000007</v>
      </c>
      <c r="G50" s="90">
        <f>1023246+1152426.81+84754.22+97196.62+85598.82+9165.7</f>
        <v>2452388.1700000004</v>
      </c>
      <c r="H50" s="90">
        <f>2357623.65+85598.82+9165.7</f>
        <v>2452388.17</v>
      </c>
      <c r="I50" s="39" t="s">
        <v>26</v>
      </c>
    </row>
    <row r="51" spans="1:9" s="4" customFormat="1" ht="23.25" customHeight="1" x14ac:dyDescent="0.25">
      <c r="A51" s="144" t="s">
        <v>71</v>
      </c>
      <c r="B51" s="144"/>
      <c r="C51" s="40">
        <v>2120</v>
      </c>
      <c r="D51" s="40">
        <v>112</v>
      </c>
      <c r="E51" s="40">
        <v>266</v>
      </c>
      <c r="F51" s="39"/>
      <c r="G51" s="39"/>
      <c r="H51" s="39"/>
      <c r="I51" s="39" t="s">
        <v>26</v>
      </c>
    </row>
    <row r="52" spans="1:9" s="4" customFormat="1" ht="31.5" customHeight="1" x14ac:dyDescent="0.25">
      <c r="A52" s="144" t="s">
        <v>72</v>
      </c>
      <c r="B52" s="144"/>
      <c r="C52" s="40">
        <v>2130</v>
      </c>
      <c r="D52" s="40">
        <v>113</v>
      </c>
      <c r="E52" s="40">
        <v>226</v>
      </c>
      <c r="F52" s="39"/>
      <c r="G52" s="39"/>
      <c r="H52" s="39"/>
      <c r="I52" s="39" t="s">
        <v>26</v>
      </c>
    </row>
    <row r="53" spans="1:9" s="4" customFormat="1" ht="34.5" customHeight="1" x14ac:dyDescent="0.25">
      <c r="A53" s="144" t="s">
        <v>73</v>
      </c>
      <c r="B53" s="144"/>
      <c r="C53" s="40">
        <v>2140</v>
      </c>
      <c r="D53" s="40">
        <v>119</v>
      </c>
      <c r="E53" s="40">
        <v>213</v>
      </c>
      <c r="F53" s="90">
        <f>309020.29+348032.9+25595.78+29353.38-182.29-115.98-1159.75+37297+2725.59</f>
        <v>750566.91999999993</v>
      </c>
      <c r="G53" s="90">
        <f>25595.78+29353.38+309020.29+348032.9+25850.84+2768.04</f>
        <v>740621.23</v>
      </c>
      <c r="H53" s="90">
        <f>712002.35+25850.84+2768.04</f>
        <v>740621.23</v>
      </c>
      <c r="I53" s="39" t="s">
        <v>26</v>
      </c>
    </row>
    <row r="54" spans="1:9" s="4" customFormat="1" ht="29.25" customHeight="1" x14ac:dyDescent="0.25">
      <c r="A54" s="144" t="s">
        <v>74</v>
      </c>
      <c r="B54" s="144"/>
      <c r="C54" s="40">
        <v>2150</v>
      </c>
      <c r="D54" s="40">
        <v>131</v>
      </c>
      <c r="E54" s="40"/>
      <c r="F54" s="39"/>
      <c r="G54" s="39"/>
      <c r="H54" s="39"/>
      <c r="I54" s="39" t="s">
        <v>26</v>
      </c>
    </row>
    <row r="55" spans="1:9" s="4" customFormat="1" ht="29.25" customHeight="1" x14ac:dyDescent="0.25">
      <c r="A55" s="144" t="s">
        <v>75</v>
      </c>
      <c r="B55" s="144"/>
      <c r="C55" s="40">
        <v>2170</v>
      </c>
      <c r="D55" s="40">
        <v>134</v>
      </c>
      <c r="E55" s="40"/>
      <c r="F55" s="39"/>
      <c r="G55" s="39"/>
      <c r="H55" s="39"/>
      <c r="I55" s="39" t="s">
        <v>26</v>
      </c>
    </row>
    <row r="56" spans="1:9" s="4" customFormat="1" ht="32.25" customHeight="1" x14ac:dyDescent="0.25">
      <c r="A56" s="144" t="s">
        <v>76</v>
      </c>
      <c r="B56" s="144"/>
      <c r="C56" s="40">
        <v>2180</v>
      </c>
      <c r="D56" s="40">
        <v>139</v>
      </c>
      <c r="E56" s="40"/>
      <c r="F56" s="39">
        <f>F57+F58</f>
        <v>0</v>
      </c>
      <c r="G56" s="39">
        <f t="shared" ref="G56:H56" si="1">G57+G58</f>
        <v>0</v>
      </c>
      <c r="H56" s="39">
        <f t="shared" si="1"/>
        <v>0</v>
      </c>
      <c r="I56" s="39" t="s">
        <v>26</v>
      </c>
    </row>
    <row r="57" spans="1:9" s="4" customFormat="1" ht="30" customHeight="1" x14ac:dyDescent="0.25">
      <c r="A57" s="143" t="s">
        <v>77</v>
      </c>
      <c r="B57" s="143"/>
      <c r="C57" s="40">
        <v>2181</v>
      </c>
      <c r="D57" s="40">
        <v>139</v>
      </c>
      <c r="E57" s="40"/>
      <c r="F57" s="39"/>
      <c r="G57" s="39"/>
      <c r="H57" s="39"/>
      <c r="I57" s="39" t="s">
        <v>26</v>
      </c>
    </row>
    <row r="58" spans="1:9" s="4" customFormat="1" ht="16.5" customHeight="1" x14ac:dyDescent="0.25">
      <c r="A58" s="143" t="s">
        <v>78</v>
      </c>
      <c r="B58" s="143"/>
      <c r="C58" s="40">
        <v>2172</v>
      </c>
      <c r="D58" s="40">
        <v>139</v>
      </c>
      <c r="E58" s="40"/>
      <c r="F58" s="39"/>
      <c r="G58" s="39"/>
      <c r="H58" s="39"/>
      <c r="I58" s="39" t="s">
        <v>26</v>
      </c>
    </row>
    <row r="59" spans="1:9" s="4" customFormat="1" ht="17.25" customHeight="1" x14ac:dyDescent="0.25">
      <c r="A59" s="143" t="s">
        <v>79</v>
      </c>
      <c r="B59" s="143"/>
      <c r="C59" s="40">
        <v>2200</v>
      </c>
      <c r="D59" s="40">
        <v>300</v>
      </c>
      <c r="E59" s="40"/>
      <c r="F59" s="39">
        <f>F60+F63+F64+F65</f>
        <v>23700</v>
      </c>
      <c r="G59" s="39">
        <f>G60+G63+G64+G65</f>
        <v>23700</v>
      </c>
      <c r="H59" s="39">
        <f>H60+H63+H64+H65</f>
        <v>23700</v>
      </c>
      <c r="I59" s="39" t="s">
        <v>26</v>
      </c>
    </row>
    <row r="60" spans="1:9" s="4" customFormat="1" ht="45" customHeight="1" x14ac:dyDescent="0.25">
      <c r="A60" s="143" t="s">
        <v>80</v>
      </c>
      <c r="B60" s="143"/>
      <c r="C60" s="40">
        <v>2210</v>
      </c>
      <c r="D60" s="40">
        <v>320</v>
      </c>
      <c r="E60" s="40"/>
      <c r="F60" s="39">
        <f>SUM(F61:F62)</f>
        <v>23700</v>
      </c>
      <c r="G60" s="39">
        <f t="shared" ref="G60:H60" si="2">SUM(G61:G62)</f>
        <v>23700</v>
      </c>
      <c r="H60" s="39">
        <f t="shared" si="2"/>
        <v>23700</v>
      </c>
      <c r="I60" s="39" t="s">
        <v>26</v>
      </c>
    </row>
    <row r="61" spans="1:9" s="4" customFormat="1" ht="43.5" customHeight="1" x14ac:dyDescent="0.25">
      <c r="A61" s="143" t="s">
        <v>81</v>
      </c>
      <c r="B61" s="143"/>
      <c r="C61" s="40">
        <v>2211</v>
      </c>
      <c r="D61" s="40">
        <v>321</v>
      </c>
      <c r="E61" s="40">
        <v>267</v>
      </c>
      <c r="F61" s="90">
        <v>23700</v>
      </c>
      <c r="G61" s="90">
        <v>23700</v>
      </c>
      <c r="H61" s="90">
        <v>23700</v>
      </c>
      <c r="I61" s="39"/>
    </row>
    <row r="62" spans="1:9" s="4" customFormat="1" ht="30.75" customHeight="1" x14ac:dyDescent="0.25">
      <c r="A62" s="143" t="s">
        <v>82</v>
      </c>
      <c r="B62" s="143"/>
      <c r="C62" s="40">
        <v>2212</v>
      </c>
      <c r="D62" s="40">
        <v>321</v>
      </c>
      <c r="E62" s="40">
        <v>263</v>
      </c>
      <c r="F62" s="39"/>
      <c r="G62" s="39"/>
      <c r="H62" s="39"/>
      <c r="I62" s="39" t="s">
        <v>26</v>
      </c>
    </row>
    <row r="63" spans="1:9" s="4" customFormat="1" ht="33" customHeight="1" x14ac:dyDescent="0.25">
      <c r="A63" s="143" t="s">
        <v>83</v>
      </c>
      <c r="B63" s="143"/>
      <c r="C63" s="40">
        <v>2220</v>
      </c>
      <c r="D63" s="40">
        <v>340</v>
      </c>
      <c r="E63" s="40"/>
      <c r="F63" s="39"/>
      <c r="G63" s="39"/>
      <c r="H63" s="39"/>
      <c r="I63" s="39" t="s">
        <v>26</v>
      </c>
    </row>
    <row r="64" spans="1:9" s="4" customFormat="1" ht="13.5" customHeight="1" x14ac:dyDescent="0.25">
      <c r="A64" s="143" t="s">
        <v>84</v>
      </c>
      <c r="B64" s="143"/>
      <c r="C64" s="40">
        <v>2230</v>
      </c>
      <c r="D64" s="40">
        <v>350</v>
      </c>
      <c r="E64" s="40"/>
      <c r="F64" s="39"/>
      <c r="G64" s="39"/>
      <c r="H64" s="39"/>
      <c r="I64" s="39" t="s">
        <v>26</v>
      </c>
    </row>
    <row r="65" spans="1:9" s="4" customFormat="1" ht="18" customHeight="1" x14ac:dyDescent="0.25">
      <c r="A65" s="143" t="s">
        <v>85</v>
      </c>
      <c r="B65" s="143"/>
      <c r="C65" s="40">
        <v>2240</v>
      </c>
      <c r="D65" s="40">
        <v>360</v>
      </c>
      <c r="E65" s="40"/>
      <c r="F65" s="39"/>
      <c r="G65" s="39"/>
      <c r="H65" s="39"/>
      <c r="I65" s="39" t="s">
        <v>26</v>
      </c>
    </row>
    <row r="66" spans="1:9" s="4" customFormat="1" ht="17.25" customHeight="1" x14ac:dyDescent="0.25">
      <c r="A66" s="143" t="s">
        <v>86</v>
      </c>
      <c r="B66" s="143"/>
      <c r="C66" s="40">
        <v>2300</v>
      </c>
      <c r="D66" s="40">
        <v>850</v>
      </c>
      <c r="E66" s="40"/>
      <c r="F66" s="39">
        <f>SUM(F67:F69)</f>
        <v>10350.34</v>
      </c>
      <c r="G66" s="39">
        <f t="shared" ref="G66:H66" si="3">SUM(G67:G69)</f>
        <v>9060</v>
      </c>
      <c r="H66" s="39">
        <f t="shared" si="3"/>
        <v>9060</v>
      </c>
      <c r="I66" s="39" t="s">
        <v>26</v>
      </c>
    </row>
    <row r="67" spans="1:9" s="4" customFormat="1" ht="27" customHeight="1" x14ac:dyDescent="0.25">
      <c r="A67" s="143" t="s">
        <v>87</v>
      </c>
      <c r="B67" s="143"/>
      <c r="C67" s="40">
        <v>2310</v>
      </c>
      <c r="D67" s="40">
        <v>851</v>
      </c>
      <c r="E67" s="40">
        <v>290</v>
      </c>
      <c r="F67" s="90">
        <f>9050-316.28</f>
        <v>8733.7199999999993</v>
      </c>
      <c r="G67" s="90">
        <v>9000</v>
      </c>
      <c r="H67" s="90">
        <v>9000</v>
      </c>
      <c r="I67" s="41" t="s">
        <v>26</v>
      </c>
    </row>
    <row r="68" spans="1:9" s="4" customFormat="1" ht="33" customHeight="1" x14ac:dyDescent="0.25">
      <c r="A68" s="132" t="s">
        <v>88</v>
      </c>
      <c r="B68" s="132"/>
      <c r="C68" s="42">
        <v>2320</v>
      </c>
      <c r="D68" s="42">
        <v>852</v>
      </c>
      <c r="E68" s="42">
        <v>290</v>
      </c>
      <c r="F68" s="91">
        <v>20</v>
      </c>
      <c r="G68" s="91">
        <v>60</v>
      </c>
      <c r="H68" s="91">
        <v>60</v>
      </c>
      <c r="I68" s="41" t="s">
        <v>26</v>
      </c>
    </row>
    <row r="69" spans="1:9" s="4" customFormat="1" ht="17.25" customHeight="1" x14ac:dyDescent="0.25">
      <c r="A69" s="132" t="s">
        <v>89</v>
      </c>
      <c r="B69" s="132"/>
      <c r="C69" s="42">
        <v>2330</v>
      </c>
      <c r="D69" s="42">
        <v>853</v>
      </c>
      <c r="E69" s="42">
        <v>290</v>
      </c>
      <c r="F69" s="91">
        <f>10+1270.34+316.28</f>
        <v>1596.62</v>
      </c>
      <c r="G69" s="91">
        <v>0</v>
      </c>
      <c r="H69" s="91"/>
      <c r="I69" s="41" t="s">
        <v>26</v>
      </c>
    </row>
    <row r="70" spans="1:9" s="4" customFormat="1" ht="15.75" customHeight="1" x14ac:dyDescent="0.25">
      <c r="A70" s="132" t="s">
        <v>90</v>
      </c>
      <c r="B70" s="132"/>
      <c r="C70" s="42">
        <v>2400</v>
      </c>
      <c r="D70" s="42" t="s">
        <v>26</v>
      </c>
      <c r="E70" s="42"/>
      <c r="F70" s="41">
        <f>SUM(F71:F73)</f>
        <v>0</v>
      </c>
      <c r="G70" s="41">
        <f t="shared" ref="G70:H70" si="4">SUM(G71:G73)</f>
        <v>0</v>
      </c>
      <c r="H70" s="41">
        <f t="shared" si="4"/>
        <v>0</v>
      </c>
      <c r="I70" s="41" t="s">
        <v>26</v>
      </c>
    </row>
    <row r="71" spans="1:9" s="4" customFormat="1" ht="29.25" customHeight="1" x14ac:dyDescent="0.25">
      <c r="A71" s="132" t="s">
        <v>91</v>
      </c>
      <c r="B71" s="132"/>
      <c r="C71" s="42">
        <v>2410</v>
      </c>
      <c r="D71" s="42">
        <v>613</v>
      </c>
      <c r="E71" s="42"/>
      <c r="F71" s="41"/>
      <c r="G71" s="41"/>
      <c r="H71" s="41"/>
      <c r="I71" s="41" t="s">
        <v>26</v>
      </c>
    </row>
    <row r="72" spans="1:9" s="4" customFormat="1" ht="16.5" customHeight="1" x14ac:dyDescent="0.25">
      <c r="A72" s="132" t="s">
        <v>92</v>
      </c>
      <c r="B72" s="132"/>
      <c r="C72" s="42">
        <v>2420</v>
      </c>
      <c r="D72" s="42">
        <v>623</v>
      </c>
      <c r="E72" s="42"/>
      <c r="F72" s="41"/>
      <c r="G72" s="41"/>
      <c r="H72" s="41"/>
      <c r="I72" s="41" t="s">
        <v>26</v>
      </c>
    </row>
    <row r="73" spans="1:9" s="4" customFormat="1" ht="28.5" customHeight="1" x14ac:dyDescent="0.25">
      <c r="A73" s="132" t="s">
        <v>93</v>
      </c>
      <c r="B73" s="132"/>
      <c r="C73" s="42">
        <v>2430</v>
      </c>
      <c r="D73" s="42">
        <v>634</v>
      </c>
      <c r="E73" s="42"/>
      <c r="F73" s="41"/>
      <c r="G73" s="41"/>
      <c r="H73" s="41"/>
      <c r="I73" s="41" t="s">
        <v>26</v>
      </c>
    </row>
    <row r="74" spans="1:9" s="4" customFormat="1" ht="15.75" customHeight="1" x14ac:dyDescent="0.25">
      <c r="A74" s="132" t="s">
        <v>94</v>
      </c>
      <c r="B74" s="132"/>
      <c r="C74" s="42">
        <v>2440</v>
      </c>
      <c r="D74" s="42">
        <v>810</v>
      </c>
      <c r="E74" s="42"/>
      <c r="F74" s="41"/>
      <c r="G74" s="41"/>
      <c r="H74" s="41"/>
      <c r="I74" s="41"/>
    </row>
    <row r="75" spans="1:9" s="4" customFormat="1" ht="16.5" customHeight="1" x14ac:dyDescent="0.25">
      <c r="A75" s="141" t="s">
        <v>95</v>
      </c>
      <c r="B75" s="142"/>
      <c r="C75" s="42">
        <v>2450</v>
      </c>
      <c r="D75" s="42">
        <v>862</v>
      </c>
      <c r="E75" s="42"/>
      <c r="F75" s="41"/>
      <c r="G75" s="41"/>
      <c r="H75" s="41"/>
      <c r="I75" s="41"/>
    </row>
    <row r="76" spans="1:9" s="4" customFormat="1" ht="30" customHeight="1" x14ac:dyDescent="0.25">
      <c r="A76" s="141" t="s">
        <v>96</v>
      </c>
      <c r="B76" s="142"/>
      <c r="C76" s="42">
        <v>2460</v>
      </c>
      <c r="D76" s="42">
        <v>863</v>
      </c>
      <c r="E76" s="42"/>
      <c r="F76" s="41"/>
      <c r="G76" s="41"/>
      <c r="H76" s="41"/>
      <c r="I76" s="41" t="s">
        <v>26</v>
      </c>
    </row>
    <row r="77" spans="1:9" s="4" customFormat="1" ht="17.25" customHeight="1" x14ac:dyDescent="0.25">
      <c r="A77" s="132" t="s">
        <v>97</v>
      </c>
      <c r="B77" s="132"/>
      <c r="C77" s="42">
        <v>2500</v>
      </c>
      <c r="D77" s="42" t="s">
        <v>26</v>
      </c>
      <c r="E77" s="42"/>
      <c r="F77" s="41">
        <f>F78</f>
        <v>0</v>
      </c>
      <c r="G77" s="41">
        <f t="shared" ref="G77:H77" si="5">G78</f>
        <v>0</v>
      </c>
      <c r="H77" s="41">
        <f t="shared" si="5"/>
        <v>0</v>
      </c>
      <c r="I77" s="41" t="s">
        <v>26</v>
      </c>
    </row>
    <row r="78" spans="1:9" s="4" customFormat="1" ht="47.25" customHeight="1" x14ac:dyDescent="0.25">
      <c r="A78" s="132" t="s">
        <v>98</v>
      </c>
      <c r="B78" s="132"/>
      <c r="C78" s="42">
        <v>2520</v>
      </c>
      <c r="D78" s="42">
        <v>831</v>
      </c>
      <c r="E78" s="42"/>
      <c r="F78" s="41"/>
      <c r="G78" s="41"/>
      <c r="H78" s="41"/>
      <c r="I78" s="41"/>
    </row>
    <row r="79" spans="1:9" s="4" customFormat="1" ht="20.25" customHeight="1" x14ac:dyDescent="0.25">
      <c r="A79" s="132" t="s">
        <v>99</v>
      </c>
      <c r="B79" s="132"/>
      <c r="C79" s="42">
        <v>2600</v>
      </c>
      <c r="D79" s="42" t="s">
        <v>26</v>
      </c>
      <c r="E79" s="42"/>
      <c r="F79" s="41">
        <f>F80+F81+F82+F92+F90</f>
        <v>1378924.93</v>
      </c>
      <c r="G79" s="41">
        <f>G80+G81+G82+G92+G90</f>
        <v>1318554.3700000001</v>
      </c>
      <c r="H79" s="41">
        <f>H80+H81+H82+H92+H90</f>
        <v>1413754.37</v>
      </c>
      <c r="I79" s="41"/>
    </row>
    <row r="80" spans="1:9" s="4" customFormat="1" ht="31.5" customHeight="1" x14ac:dyDescent="0.25">
      <c r="A80" s="132" t="s">
        <v>100</v>
      </c>
      <c r="B80" s="132"/>
      <c r="C80" s="42">
        <v>2610</v>
      </c>
      <c r="D80" s="42">
        <v>241</v>
      </c>
      <c r="E80" s="42"/>
      <c r="F80" s="41"/>
      <c r="G80" s="41"/>
      <c r="H80" s="41"/>
      <c r="I80" s="41"/>
    </row>
    <row r="81" spans="1:9" s="4" customFormat="1" ht="30.75" customHeight="1" x14ac:dyDescent="0.25">
      <c r="A81" s="132" t="s">
        <v>101</v>
      </c>
      <c r="B81" s="132"/>
      <c r="C81" s="42">
        <v>2630</v>
      </c>
      <c r="D81" s="42">
        <v>243</v>
      </c>
      <c r="E81" s="42"/>
      <c r="F81" s="41"/>
      <c r="G81" s="41"/>
      <c r="H81" s="41"/>
      <c r="I81" s="41"/>
    </row>
    <row r="82" spans="1:9" s="4" customFormat="1" ht="18" customHeight="1" x14ac:dyDescent="0.25">
      <c r="A82" s="132" t="s">
        <v>102</v>
      </c>
      <c r="B82" s="132"/>
      <c r="C82" s="42">
        <v>2640</v>
      </c>
      <c r="D82" s="42">
        <v>244</v>
      </c>
      <c r="E82" s="42"/>
      <c r="F82" s="41">
        <f>F84+F85+F86+F87+F88+F89</f>
        <v>1047431.39</v>
      </c>
      <c r="G82" s="41">
        <f>G84+G85+G86+G87+G88+G89</f>
        <v>1198554.3700000001</v>
      </c>
      <c r="H82" s="41">
        <f>H84+H85+H86+H87+H88+H89</f>
        <v>1293754.3700000001</v>
      </c>
      <c r="I82" s="41"/>
    </row>
    <row r="83" spans="1:9" s="4" customFormat="1" ht="15.75" customHeight="1" x14ac:dyDescent="0.25">
      <c r="A83" s="139" t="s">
        <v>103</v>
      </c>
      <c r="B83" s="140"/>
      <c r="C83" s="42"/>
      <c r="D83" s="43"/>
      <c r="E83" s="42"/>
      <c r="F83" s="41"/>
      <c r="G83" s="41"/>
      <c r="H83" s="41"/>
      <c r="I83" s="41"/>
    </row>
    <row r="84" spans="1:9" s="4" customFormat="1" ht="15.75" customHeight="1" x14ac:dyDescent="0.25">
      <c r="A84" s="135" t="s">
        <v>104</v>
      </c>
      <c r="B84" s="135"/>
      <c r="C84" s="42">
        <v>2641</v>
      </c>
      <c r="D84" s="43" t="s">
        <v>105</v>
      </c>
      <c r="E84" s="42"/>
      <c r="F84" s="91">
        <v>6899.76</v>
      </c>
      <c r="G84" s="91">
        <v>15000</v>
      </c>
      <c r="H84" s="91">
        <v>15000</v>
      </c>
      <c r="I84" s="41"/>
    </row>
    <row r="85" spans="1:9" s="4" customFormat="1" ht="16.5" customHeight="1" x14ac:dyDescent="0.25">
      <c r="A85" s="135" t="s">
        <v>106</v>
      </c>
      <c r="B85" s="135"/>
      <c r="C85" s="42">
        <v>2642</v>
      </c>
      <c r="D85" s="43" t="s">
        <v>105</v>
      </c>
      <c r="E85" s="42"/>
      <c r="F85" s="91">
        <f>45418.8-21085.6</f>
        <v>24333.200000000004</v>
      </c>
      <c r="G85" s="91">
        <v>33762.379999999997</v>
      </c>
      <c r="H85" s="91">
        <v>33762.379999999997</v>
      </c>
      <c r="I85" s="41"/>
    </row>
    <row r="86" spans="1:9" s="4" customFormat="1" ht="19.5" customHeight="1" x14ac:dyDescent="0.25">
      <c r="A86" s="136" t="s">
        <v>107</v>
      </c>
      <c r="B86" s="137"/>
      <c r="C86" s="44">
        <v>2643</v>
      </c>
      <c r="D86" s="43" t="s">
        <v>105</v>
      </c>
      <c r="E86" s="42"/>
      <c r="F86" s="91">
        <f>1000+10156.2+14448+51995.18+70700+4328</f>
        <v>152627.38</v>
      </c>
      <c r="G86" s="91">
        <f>67985.59+70700</f>
        <v>138685.59</v>
      </c>
      <c r="H86" s="91">
        <f>67985.59+70700</f>
        <v>138685.59</v>
      </c>
      <c r="I86" s="41"/>
    </row>
    <row r="87" spans="1:9" s="4" customFormat="1" ht="17.25" customHeight="1" x14ac:dyDescent="0.25">
      <c r="A87" s="135" t="s">
        <v>108</v>
      </c>
      <c r="B87" s="135"/>
      <c r="C87" s="42">
        <v>2644</v>
      </c>
      <c r="D87" s="43" t="s">
        <v>105</v>
      </c>
      <c r="E87" s="42"/>
      <c r="F87" s="91">
        <f>10000+21108.48+89657.77+63523.2+14135.3+500-7433.4+172500-172500+2230.2</f>
        <v>193721.55</v>
      </c>
      <c r="G87" s="91">
        <f>215008.84+6035.06</f>
        <v>221043.9</v>
      </c>
      <c r="H87" s="91">
        <v>221043.9</v>
      </c>
      <c r="I87" s="41"/>
    </row>
    <row r="88" spans="1:9" s="4" customFormat="1" ht="19.5" customHeight="1" x14ac:dyDescent="0.25">
      <c r="A88" s="138" t="s">
        <v>109</v>
      </c>
      <c r="B88" s="138"/>
      <c r="C88" s="44">
        <v>2645</v>
      </c>
      <c r="D88" s="43" t="s">
        <v>105</v>
      </c>
      <c r="E88" s="42"/>
      <c r="F88" s="91">
        <f>32300+10000+32300</f>
        <v>74600</v>
      </c>
      <c r="G88" s="91">
        <v>161800</v>
      </c>
      <c r="H88" s="91">
        <f>205400+10000</f>
        <v>215400</v>
      </c>
      <c r="I88" s="41"/>
    </row>
    <row r="89" spans="1:9" s="4" customFormat="1" ht="19.5" customHeight="1" x14ac:dyDescent="0.25">
      <c r="A89" s="138" t="s">
        <v>110</v>
      </c>
      <c r="B89" s="138"/>
      <c r="C89" s="44">
        <v>2646</v>
      </c>
      <c r="D89" s="43" t="s">
        <v>105</v>
      </c>
      <c r="E89" s="42"/>
      <c r="F89" s="91">
        <f>309299.35+11900+119169.22+46659.95+8018.13+500+85150.65+7433.4+9349-2230.2</f>
        <v>595249.5</v>
      </c>
      <c r="G89" s="91">
        <f>170362.5+457900</f>
        <v>628262.5</v>
      </c>
      <c r="H89" s="91">
        <f>170362.5+499500</f>
        <v>669862.5</v>
      </c>
      <c r="I89" s="41"/>
    </row>
    <row r="90" spans="1:9" s="4" customFormat="1" ht="15" customHeight="1" x14ac:dyDescent="0.25">
      <c r="A90" s="135" t="s">
        <v>111</v>
      </c>
      <c r="B90" s="135"/>
      <c r="C90" s="42">
        <v>2650</v>
      </c>
      <c r="D90" s="43" t="s">
        <v>112</v>
      </c>
      <c r="E90" s="42"/>
      <c r="F90" s="41">
        <f>F91</f>
        <v>331493.53999999998</v>
      </c>
      <c r="G90" s="41">
        <f>G91</f>
        <v>120000</v>
      </c>
      <c r="H90" s="41">
        <f>H91</f>
        <v>120000</v>
      </c>
      <c r="I90" s="41"/>
    </row>
    <row r="91" spans="1:9" s="4" customFormat="1" ht="28.5" customHeight="1" x14ac:dyDescent="0.25">
      <c r="A91" s="132" t="s">
        <v>113</v>
      </c>
      <c r="B91" s="132"/>
      <c r="C91" s="42">
        <v>2651</v>
      </c>
      <c r="D91" s="42">
        <v>247</v>
      </c>
      <c r="E91" s="42"/>
      <c r="F91" s="91">
        <f>129429.18+180978.76+19081.67+2003.93</f>
        <v>331493.53999999998</v>
      </c>
      <c r="G91" s="91">
        <v>120000</v>
      </c>
      <c r="H91" s="91">
        <v>120000</v>
      </c>
      <c r="I91" s="41">
        <f t="shared" ref="I91" si="6">I92+I93</f>
        <v>0</v>
      </c>
    </row>
    <row r="92" spans="1:9" s="4" customFormat="1" ht="31.5" customHeight="1" x14ac:dyDescent="0.25">
      <c r="A92" s="135" t="s">
        <v>114</v>
      </c>
      <c r="B92" s="135"/>
      <c r="C92" s="42">
        <v>2700</v>
      </c>
      <c r="D92" s="42">
        <v>400</v>
      </c>
      <c r="E92" s="42"/>
      <c r="F92" s="41">
        <f>F93+F94</f>
        <v>0</v>
      </c>
      <c r="G92" s="41">
        <f>G93+G94</f>
        <v>0</v>
      </c>
      <c r="H92" s="41">
        <f>H93+H94</f>
        <v>0</v>
      </c>
      <c r="I92" s="41"/>
    </row>
    <row r="93" spans="1:9" s="4" customFormat="1" ht="44.25" customHeight="1" x14ac:dyDescent="0.25">
      <c r="A93" s="132" t="s">
        <v>115</v>
      </c>
      <c r="B93" s="132"/>
      <c r="C93" s="42">
        <v>2710</v>
      </c>
      <c r="D93" s="42">
        <v>406</v>
      </c>
      <c r="E93" s="42"/>
      <c r="F93" s="41"/>
      <c r="G93" s="41"/>
      <c r="H93" s="41"/>
      <c r="I93" s="41"/>
    </row>
    <row r="94" spans="1:9" s="4" customFormat="1" ht="15" customHeight="1" x14ac:dyDescent="0.25">
      <c r="A94" s="132" t="s">
        <v>116</v>
      </c>
      <c r="B94" s="132"/>
      <c r="C94" s="42">
        <v>2720</v>
      </c>
      <c r="D94" s="42">
        <v>407</v>
      </c>
      <c r="E94" s="42"/>
      <c r="F94" s="41"/>
      <c r="G94" s="41"/>
      <c r="H94" s="41"/>
      <c r="I94" s="45" t="s">
        <v>26</v>
      </c>
    </row>
    <row r="95" spans="1:9" s="4" customFormat="1" ht="20.25" customHeight="1" x14ac:dyDescent="0.25">
      <c r="A95" s="133" t="s">
        <v>117</v>
      </c>
      <c r="B95" s="133"/>
      <c r="C95" s="46">
        <v>3000</v>
      </c>
      <c r="D95" s="46">
        <v>100</v>
      </c>
      <c r="E95" s="42"/>
      <c r="F95" s="45">
        <f>SUM(F96:F98)</f>
        <v>-2519</v>
      </c>
      <c r="G95" s="45">
        <f t="shared" ref="G95:H95" si="7">SUM(G96:G98)</f>
        <v>0</v>
      </c>
      <c r="H95" s="45">
        <f t="shared" si="7"/>
        <v>0</v>
      </c>
      <c r="I95" s="41" t="s">
        <v>26</v>
      </c>
    </row>
    <row r="96" spans="1:9" s="4" customFormat="1" ht="25.5" customHeight="1" x14ac:dyDescent="0.25">
      <c r="A96" s="132" t="s">
        <v>118</v>
      </c>
      <c r="B96" s="132"/>
      <c r="C96" s="42">
        <v>3010</v>
      </c>
      <c r="D96" s="42"/>
      <c r="E96" s="46"/>
      <c r="F96" s="41">
        <f>-1013-1506</f>
        <v>-2519</v>
      </c>
      <c r="G96" s="41"/>
      <c r="H96" s="41"/>
      <c r="I96" s="41" t="s">
        <v>26</v>
      </c>
    </row>
    <row r="97" spans="1:10" x14ac:dyDescent="0.25">
      <c r="A97" s="132" t="s">
        <v>119</v>
      </c>
      <c r="B97" s="132"/>
      <c r="C97" s="42">
        <v>3020</v>
      </c>
      <c r="D97" s="42"/>
      <c r="E97" s="42"/>
      <c r="F97" s="41"/>
      <c r="G97" s="41"/>
      <c r="H97" s="41"/>
      <c r="I97" s="41" t="s">
        <v>26</v>
      </c>
    </row>
    <row r="98" spans="1:10" x14ac:dyDescent="0.25">
      <c r="A98" s="132" t="s">
        <v>120</v>
      </c>
      <c r="B98" s="132"/>
      <c r="C98" s="42">
        <v>3030</v>
      </c>
      <c r="D98" s="42"/>
      <c r="E98" s="42"/>
      <c r="F98" s="41"/>
      <c r="G98" s="41"/>
      <c r="H98" s="41"/>
      <c r="I98" s="45" t="s">
        <v>26</v>
      </c>
    </row>
    <row r="99" spans="1:10" ht="23.25" customHeight="1" x14ac:dyDescent="0.25">
      <c r="A99" s="133" t="s">
        <v>121</v>
      </c>
      <c r="B99" s="133"/>
      <c r="C99" s="46">
        <v>4000</v>
      </c>
      <c r="D99" s="46" t="s">
        <v>26</v>
      </c>
      <c r="E99" s="42"/>
      <c r="F99" s="45">
        <f>F100</f>
        <v>0</v>
      </c>
      <c r="G99" s="45">
        <f t="shared" ref="G99:H99" si="8">G100</f>
        <v>0</v>
      </c>
      <c r="H99" s="45">
        <f t="shared" si="8"/>
        <v>0</v>
      </c>
      <c r="I99" s="41" t="s">
        <v>26</v>
      </c>
    </row>
    <row r="100" spans="1:10" ht="27.75" customHeight="1" x14ac:dyDescent="0.25">
      <c r="A100" s="132" t="s">
        <v>122</v>
      </c>
      <c r="B100" s="132"/>
      <c r="C100" s="42">
        <v>4010</v>
      </c>
      <c r="D100" s="42">
        <v>610</v>
      </c>
      <c r="E100" s="46"/>
      <c r="F100" s="41"/>
      <c r="G100" s="41"/>
      <c r="H100" s="41"/>
      <c r="I100" s="41"/>
    </row>
    <row r="101" spans="1:10" ht="12.75" customHeight="1" x14ac:dyDescent="0.25">
      <c r="A101" s="47"/>
      <c r="B101" s="48"/>
      <c r="C101" s="49"/>
      <c r="D101" s="49"/>
      <c r="E101" s="50"/>
      <c r="F101" s="51"/>
      <c r="G101" s="51"/>
      <c r="H101" s="51"/>
      <c r="I101" s="52"/>
    </row>
    <row r="102" spans="1:10" ht="21.75" customHeight="1" x14ac:dyDescent="0.25">
      <c r="A102" s="134" t="s">
        <v>123</v>
      </c>
      <c r="B102" s="134"/>
      <c r="C102" s="134"/>
      <c r="D102" s="134"/>
      <c r="E102" s="134"/>
      <c r="F102" s="134"/>
      <c r="G102" s="134"/>
      <c r="H102" s="134"/>
      <c r="I102" s="52"/>
    </row>
    <row r="103" spans="1:10" x14ac:dyDescent="0.25">
      <c r="A103" s="53"/>
      <c r="B103" s="52"/>
      <c r="C103" s="54"/>
      <c r="D103" s="54"/>
      <c r="E103" s="54"/>
      <c r="F103" s="54"/>
      <c r="G103" s="55"/>
      <c r="H103" s="54"/>
      <c r="I103" s="56"/>
    </row>
    <row r="104" spans="1:10" ht="14.25" customHeight="1" x14ac:dyDescent="0.25">
      <c r="A104" s="121" t="s">
        <v>124</v>
      </c>
      <c r="B104" s="121" t="s">
        <v>14</v>
      </c>
      <c r="C104" s="121" t="s">
        <v>125</v>
      </c>
      <c r="D104" s="121" t="s">
        <v>126</v>
      </c>
      <c r="E104" s="124" t="s">
        <v>16</v>
      </c>
      <c r="F104" s="127" t="s">
        <v>18</v>
      </c>
      <c r="G104" s="128"/>
      <c r="H104" s="128"/>
      <c r="I104" s="129"/>
    </row>
    <row r="105" spans="1:10" ht="22.5" customHeight="1" x14ac:dyDescent="0.25">
      <c r="A105" s="122"/>
      <c r="B105" s="122"/>
      <c r="C105" s="122"/>
      <c r="D105" s="122"/>
      <c r="E105" s="125"/>
      <c r="F105" s="121" t="s">
        <v>19</v>
      </c>
      <c r="G105" s="94" t="s">
        <v>179</v>
      </c>
      <c r="H105" s="94" t="s">
        <v>193</v>
      </c>
      <c r="I105" s="130" t="s">
        <v>20</v>
      </c>
    </row>
    <row r="106" spans="1:10" ht="44.25" customHeight="1" x14ac:dyDescent="0.25">
      <c r="A106" s="123"/>
      <c r="B106" s="123"/>
      <c r="C106" s="123"/>
      <c r="D106" s="123"/>
      <c r="E106" s="126"/>
      <c r="F106" s="123"/>
      <c r="G106" s="94" t="s">
        <v>22</v>
      </c>
      <c r="H106" s="94" t="s">
        <v>23</v>
      </c>
      <c r="I106" s="131"/>
    </row>
    <row r="107" spans="1:10" x14ac:dyDescent="0.25">
      <c r="A107" s="57">
        <v>1</v>
      </c>
      <c r="B107" s="94">
        <v>2</v>
      </c>
      <c r="C107" s="94">
        <v>3</v>
      </c>
      <c r="D107" s="94">
        <v>4</v>
      </c>
      <c r="E107" s="32" t="s">
        <v>127</v>
      </c>
      <c r="F107" s="94">
        <v>5</v>
      </c>
      <c r="G107" s="94">
        <v>6</v>
      </c>
      <c r="H107" s="94">
        <v>7</v>
      </c>
      <c r="I107" s="58">
        <v>8</v>
      </c>
    </row>
    <row r="108" spans="1:10" ht="22.5" customHeight="1" x14ac:dyDescent="0.25">
      <c r="A108" s="57">
        <v>1</v>
      </c>
      <c r="B108" s="59" t="s">
        <v>128</v>
      </c>
      <c r="C108" s="60">
        <v>26000</v>
      </c>
      <c r="D108" s="60" t="s">
        <v>26</v>
      </c>
      <c r="E108" s="61" t="s">
        <v>26</v>
      </c>
      <c r="F108" s="62">
        <f>F109+F110+F111+F115</f>
        <v>1378924.93</v>
      </c>
      <c r="G108" s="62">
        <f>G109+G110+G111+G115</f>
        <v>1318554.3700000001</v>
      </c>
      <c r="H108" s="62">
        <f t="shared" ref="H108" si="9">H109+H110+H111+H115</f>
        <v>1413754.37</v>
      </c>
      <c r="I108" s="39"/>
    </row>
    <row r="109" spans="1:10" ht="183.75" customHeight="1" x14ac:dyDescent="0.25">
      <c r="A109" s="63" t="s">
        <v>129</v>
      </c>
      <c r="B109" s="64" t="s">
        <v>182</v>
      </c>
      <c r="C109" s="65">
        <v>26100</v>
      </c>
      <c r="D109" s="40" t="s">
        <v>26</v>
      </c>
      <c r="E109" s="22" t="s">
        <v>26</v>
      </c>
      <c r="F109" s="90">
        <v>500</v>
      </c>
      <c r="G109" s="39"/>
      <c r="H109" s="39"/>
      <c r="I109" s="39"/>
    </row>
    <row r="110" spans="1:10" ht="43.5" customHeight="1" x14ac:dyDescent="0.25">
      <c r="A110" s="63" t="s">
        <v>130</v>
      </c>
      <c r="B110" s="64" t="s">
        <v>131</v>
      </c>
      <c r="C110" s="65">
        <v>26200</v>
      </c>
      <c r="D110" s="40" t="s">
        <v>26</v>
      </c>
      <c r="E110" s="22" t="s">
        <v>26</v>
      </c>
      <c r="F110" s="39"/>
      <c r="G110" s="39"/>
      <c r="H110" s="39"/>
      <c r="I110" s="39"/>
    </row>
    <row r="111" spans="1:10" ht="46.5" customHeight="1" x14ac:dyDescent="0.25">
      <c r="A111" s="63" t="s">
        <v>132</v>
      </c>
      <c r="B111" s="64" t="s">
        <v>133</v>
      </c>
      <c r="C111" s="65">
        <v>26300</v>
      </c>
      <c r="D111" s="40" t="s">
        <v>26</v>
      </c>
      <c r="E111" s="22" t="s">
        <v>26</v>
      </c>
      <c r="F111" s="90">
        <f>45418.8+10156.2+14448+51995.18+21108.48+63523.2+85150.65+129429.18+6899.76+46659.95+500+180978.76+2003.93-21085.6</f>
        <v>637186.49000000011</v>
      </c>
      <c r="G111" s="39">
        <v>0</v>
      </c>
      <c r="H111" s="39">
        <v>0</v>
      </c>
      <c r="I111" s="39"/>
      <c r="J111" s="2">
        <v>130</v>
      </c>
    </row>
    <row r="112" spans="1:10" ht="17.25" customHeight="1" x14ac:dyDescent="0.25">
      <c r="A112" s="66" t="s">
        <v>134</v>
      </c>
      <c r="B112" s="64" t="s">
        <v>135</v>
      </c>
      <c r="C112" s="65">
        <v>26310</v>
      </c>
      <c r="D112" s="40" t="s">
        <v>26</v>
      </c>
      <c r="E112" s="22" t="s">
        <v>26</v>
      </c>
      <c r="F112" s="39">
        <f>F111</f>
        <v>637186.49000000011</v>
      </c>
      <c r="G112" s="39"/>
      <c r="H112" s="39"/>
      <c r="I112" s="39"/>
    </row>
    <row r="113" spans="1:13" ht="16.5" customHeight="1" x14ac:dyDescent="0.25">
      <c r="A113" s="66"/>
      <c r="B113" s="64" t="s">
        <v>136</v>
      </c>
      <c r="C113" s="65" t="s">
        <v>137</v>
      </c>
      <c r="D113" s="40" t="s">
        <v>26</v>
      </c>
      <c r="E113" s="22">
        <v>150</v>
      </c>
      <c r="F113" s="39"/>
      <c r="G113" s="39"/>
      <c r="H113" s="39"/>
      <c r="I113" s="39"/>
    </row>
    <row r="114" spans="1:13" ht="20.25" customHeight="1" x14ac:dyDescent="0.25">
      <c r="A114" s="66" t="s">
        <v>138</v>
      </c>
      <c r="B114" s="64" t="s">
        <v>139</v>
      </c>
      <c r="C114" s="65">
        <v>26320</v>
      </c>
      <c r="D114" s="40" t="s">
        <v>26</v>
      </c>
      <c r="E114" s="22" t="s">
        <v>26</v>
      </c>
      <c r="F114" s="39"/>
      <c r="G114" s="39"/>
      <c r="H114" s="39"/>
      <c r="I114" s="39"/>
      <c r="L114" s="12" t="s">
        <v>191</v>
      </c>
      <c r="M114" s="13"/>
    </row>
    <row r="115" spans="1:13" ht="45" customHeight="1" x14ac:dyDescent="0.25">
      <c r="A115" s="63" t="s">
        <v>140</v>
      </c>
      <c r="B115" s="64" t="s">
        <v>141</v>
      </c>
      <c r="C115" s="65">
        <v>26400</v>
      </c>
      <c r="D115" s="40" t="s">
        <v>26</v>
      </c>
      <c r="E115" s="22" t="s">
        <v>26</v>
      </c>
      <c r="F115" s="92">
        <f>F116+F119+F123+F125+F128</f>
        <v>741238.43999999983</v>
      </c>
      <c r="G115" s="92">
        <f>G116+G119+G123+G125+G128</f>
        <v>1318554.3700000001</v>
      </c>
      <c r="H115" s="92">
        <f>H116+H119+H123+H125+H128</f>
        <v>1413754.37</v>
      </c>
      <c r="I115" s="39"/>
      <c r="J115" s="6" t="s">
        <v>188</v>
      </c>
      <c r="L115" s="8">
        <v>111</v>
      </c>
      <c r="M115" s="11">
        <f>7433.4+7946.7+89409.3-2230.2-2701.9</f>
        <v>99857.3</v>
      </c>
    </row>
    <row r="116" spans="1:13" ht="44.25" customHeight="1" x14ac:dyDescent="0.25">
      <c r="A116" s="66" t="s">
        <v>142</v>
      </c>
      <c r="B116" s="64" t="s">
        <v>143</v>
      </c>
      <c r="C116" s="65">
        <v>26410</v>
      </c>
      <c r="D116" s="40" t="s">
        <v>26</v>
      </c>
      <c r="E116" s="22" t="s">
        <v>26</v>
      </c>
      <c r="F116" s="39">
        <f>F117+F118</f>
        <v>478751.08999999985</v>
      </c>
      <c r="G116" s="39">
        <f>G117+G118</f>
        <v>925691.87000000011</v>
      </c>
      <c r="H116" s="39">
        <f t="shared" ref="H116" si="10">H117+H118</f>
        <v>967291.87000000011</v>
      </c>
      <c r="I116" s="39"/>
      <c r="L116" s="8">
        <v>112</v>
      </c>
      <c r="M116" s="11">
        <f>1000+10000+89657.77+309299.35+11900+119169.22+8018.13-7946.7+172500-89409.3-172500+9349+4328+2701.9</f>
        <v>468067.37</v>
      </c>
    </row>
    <row r="117" spans="1:13" ht="29.25" customHeight="1" x14ac:dyDescent="0.25">
      <c r="A117" s="66" t="s">
        <v>144</v>
      </c>
      <c r="B117" s="64" t="s">
        <v>145</v>
      </c>
      <c r="C117" s="65">
        <v>26411</v>
      </c>
      <c r="D117" s="40" t="s">
        <v>26</v>
      </c>
      <c r="E117" s="22" t="s">
        <v>26</v>
      </c>
      <c r="F117" s="39">
        <f>F79-F111-F119-F128-F109</f>
        <v>478751.08999999985</v>
      </c>
      <c r="G117" s="39">
        <f>G79-G111-G119-G128</f>
        <v>925691.87000000011</v>
      </c>
      <c r="H117" s="39">
        <f>H79-H111-H119-H128</f>
        <v>967291.87000000011</v>
      </c>
      <c r="I117" s="39"/>
      <c r="L117" s="8">
        <v>113</v>
      </c>
      <c r="M117" s="11">
        <f>14135.3+32300+10000+70700-7433.4+32300+19081.67+2230.2</f>
        <v>173313.77000000002</v>
      </c>
    </row>
    <row r="118" spans="1:13" ht="22.5" customHeight="1" x14ac:dyDescent="0.25">
      <c r="A118" s="66" t="s">
        <v>146</v>
      </c>
      <c r="B118" s="64" t="s">
        <v>147</v>
      </c>
      <c r="C118" s="40">
        <v>26412</v>
      </c>
      <c r="D118" s="40" t="s">
        <v>26</v>
      </c>
      <c r="E118" s="22" t="s">
        <v>26</v>
      </c>
      <c r="F118" s="39"/>
      <c r="G118" s="39"/>
      <c r="H118" s="39"/>
      <c r="I118" s="39"/>
      <c r="L118" s="9">
        <v>110</v>
      </c>
      <c r="M118" s="16">
        <f>M116+M117+M115</f>
        <v>741238.44000000006</v>
      </c>
    </row>
    <row r="119" spans="1:13" ht="45.75" customHeight="1" x14ac:dyDescent="0.25">
      <c r="A119" s="66" t="s">
        <v>148</v>
      </c>
      <c r="B119" s="64" t="s">
        <v>149</v>
      </c>
      <c r="C119" s="65">
        <v>26420</v>
      </c>
      <c r="D119" s="40" t="s">
        <v>26</v>
      </c>
      <c r="E119" s="22" t="s">
        <v>26</v>
      </c>
      <c r="F119" s="39">
        <f>F120+F122</f>
        <v>135300</v>
      </c>
      <c r="G119" s="39">
        <f>G120+G122</f>
        <v>222500</v>
      </c>
      <c r="H119" s="39">
        <f t="shared" ref="H119" si="11">H120+H122</f>
        <v>276100</v>
      </c>
      <c r="I119" s="39"/>
      <c r="L119" s="8">
        <v>130</v>
      </c>
      <c r="M119" s="14">
        <f>F111</f>
        <v>637186.49000000011</v>
      </c>
    </row>
    <row r="120" spans="1:13" ht="27.75" customHeight="1" x14ac:dyDescent="0.25">
      <c r="A120" s="66" t="s">
        <v>150</v>
      </c>
      <c r="B120" s="64" t="s">
        <v>145</v>
      </c>
      <c r="C120" s="65">
        <v>26421</v>
      </c>
      <c r="D120" s="40" t="s">
        <v>26</v>
      </c>
      <c r="E120" s="22" t="s">
        <v>26</v>
      </c>
      <c r="F120" s="39">
        <f>F35-F37-F38-F36</f>
        <v>135300</v>
      </c>
      <c r="G120" s="39">
        <f>G35-G37-G38-G36</f>
        <v>222500</v>
      </c>
      <c r="H120" s="39">
        <f>H35-H37-H38-H36</f>
        <v>276100</v>
      </c>
      <c r="I120" s="39"/>
      <c r="L120" s="8" t="s">
        <v>189</v>
      </c>
      <c r="M120" s="17">
        <f>M118+M119+F109</f>
        <v>1378924.9300000002</v>
      </c>
    </row>
    <row r="121" spans="1:13" x14ac:dyDescent="0.25">
      <c r="A121" s="66"/>
      <c r="B121" s="64" t="s">
        <v>136</v>
      </c>
      <c r="C121" s="65" t="s">
        <v>151</v>
      </c>
      <c r="D121" s="40" t="s">
        <v>26</v>
      </c>
      <c r="E121" s="22">
        <v>150</v>
      </c>
      <c r="F121" s="39">
        <f>F120</f>
        <v>135300</v>
      </c>
      <c r="G121" s="39">
        <f>G120</f>
        <v>222500</v>
      </c>
      <c r="H121" s="39">
        <f>H120</f>
        <v>276100</v>
      </c>
      <c r="I121" s="39"/>
      <c r="L121" s="10" t="s">
        <v>190</v>
      </c>
      <c r="M121" s="15">
        <f>M118-F115</f>
        <v>0</v>
      </c>
    </row>
    <row r="122" spans="1:13" ht="18" customHeight="1" x14ac:dyDescent="0.25">
      <c r="A122" s="67" t="s">
        <v>152</v>
      </c>
      <c r="B122" s="64" t="s">
        <v>147</v>
      </c>
      <c r="C122" s="65">
        <v>26422</v>
      </c>
      <c r="D122" s="40" t="s">
        <v>26</v>
      </c>
      <c r="E122" s="22" t="s">
        <v>26</v>
      </c>
      <c r="F122" s="39"/>
      <c r="G122" s="39"/>
      <c r="H122" s="39"/>
      <c r="I122" s="39"/>
    </row>
    <row r="123" spans="1:13" ht="28.5" customHeight="1" x14ac:dyDescent="0.25">
      <c r="A123" s="66" t="s">
        <v>153</v>
      </c>
      <c r="B123" s="64" t="s">
        <v>154</v>
      </c>
      <c r="C123" s="65">
        <v>26430</v>
      </c>
      <c r="D123" s="40" t="s">
        <v>26</v>
      </c>
      <c r="E123" s="22" t="s">
        <v>26</v>
      </c>
      <c r="F123" s="39"/>
      <c r="G123" s="39"/>
      <c r="H123" s="39"/>
      <c r="I123" s="39"/>
      <c r="M123" s="2">
        <v>1378924.93</v>
      </c>
    </row>
    <row r="124" spans="1:13" ht="16.5" customHeight="1" x14ac:dyDescent="0.25">
      <c r="A124" s="66"/>
      <c r="B124" s="64" t="s">
        <v>136</v>
      </c>
      <c r="C124" s="65" t="s">
        <v>155</v>
      </c>
      <c r="D124" s="40" t="s">
        <v>26</v>
      </c>
      <c r="E124" s="22">
        <v>150</v>
      </c>
      <c r="F124" s="39"/>
      <c r="G124" s="39"/>
      <c r="H124" s="39"/>
      <c r="I124" s="39">
        <f t="shared" ref="G124:I125" si="12">I125+I126</f>
        <v>0</v>
      </c>
    </row>
    <row r="125" spans="1:13" ht="16.5" customHeight="1" x14ac:dyDescent="0.25">
      <c r="A125" s="66" t="s">
        <v>156</v>
      </c>
      <c r="B125" s="64" t="s">
        <v>157</v>
      </c>
      <c r="C125" s="65">
        <v>26440</v>
      </c>
      <c r="D125" s="40" t="s">
        <v>26</v>
      </c>
      <c r="E125" s="22" t="s">
        <v>26</v>
      </c>
      <c r="F125" s="39">
        <f>F126+F127</f>
        <v>0</v>
      </c>
      <c r="G125" s="39">
        <f t="shared" si="12"/>
        <v>0</v>
      </c>
      <c r="H125" s="39">
        <f t="shared" si="12"/>
        <v>0</v>
      </c>
      <c r="I125" s="39"/>
    </row>
    <row r="126" spans="1:13" ht="29.25" customHeight="1" x14ac:dyDescent="0.25">
      <c r="A126" s="66" t="s">
        <v>158</v>
      </c>
      <c r="B126" s="64" t="s">
        <v>145</v>
      </c>
      <c r="C126" s="65">
        <v>26441</v>
      </c>
      <c r="D126" s="40" t="s">
        <v>26</v>
      </c>
      <c r="E126" s="22" t="s">
        <v>26</v>
      </c>
      <c r="F126" s="39"/>
      <c r="G126" s="39"/>
      <c r="H126" s="39"/>
      <c r="I126" s="39"/>
    </row>
    <row r="127" spans="1:13" ht="18.75" customHeight="1" x14ac:dyDescent="0.25">
      <c r="A127" s="67" t="s">
        <v>159</v>
      </c>
      <c r="B127" s="64" t="s">
        <v>147</v>
      </c>
      <c r="C127" s="65">
        <v>26442</v>
      </c>
      <c r="D127" s="40" t="s">
        <v>26</v>
      </c>
      <c r="E127" s="22" t="s">
        <v>26</v>
      </c>
      <c r="F127" s="39"/>
      <c r="G127" s="39"/>
      <c r="H127" s="39"/>
      <c r="I127" s="39">
        <f t="shared" ref="G127:I128" si="13">I128+I130</f>
        <v>0</v>
      </c>
    </row>
    <row r="128" spans="1:13" ht="18.75" customHeight="1" x14ac:dyDescent="0.25">
      <c r="A128" s="67" t="s">
        <v>160</v>
      </c>
      <c r="B128" s="64" t="s">
        <v>161</v>
      </c>
      <c r="C128" s="65">
        <v>26450</v>
      </c>
      <c r="D128" s="40" t="s">
        <v>26</v>
      </c>
      <c r="E128" s="22" t="s">
        <v>26</v>
      </c>
      <c r="F128" s="39">
        <f>F129+F131</f>
        <v>127187.35</v>
      </c>
      <c r="G128" s="39">
        <f t="shared" si="13"/>
        <v>170362.5</v>
      </c>
      <c r="H128" s="39">
        <f t="shared" si="13"/>
        <v>170362.5</v>
      </c>
      <c r="I128" s="39"/>
    </row>
    <row r="129" spans="1:10" ht="25.5" customHeight="1" x14ac:dyDescent="0.25">
      <c r="A129" s="67" t="s">
        <v>162</v>
      </c>
      <c r="B129" s="64" t="s">
        <v>145</v>
      </c>
      <c r="C129" s="65">
        <v>26451</v>
      </c>
      <c r="D129" s="40" t="s">
        <v>26</v>
      </c>
      <c r="E129" s="22" t="s">
        <v>26</v>
      </c>
      <c r="F129" s="90">
        <f>119169.22+8018.13</f>
        <v>127187.35</v>
      </c>
      <c r="G129" s="90">
        <v>170362.5</v>
      </c>
      <c r="H129" s="90">
        <v>170362.5</v>
      </c>
      <c r="I129" s="39"/>
    </row>
    <row r="130" spans="1:10" ht="13.5" customHeight="1" x14ac:dyDescent="0.25">
      <c r="A130" s="67"/>
      <c r="B130" s="64" t="s">
        <v>136</v>
      </c>
      <c r="C130" s="65" t="s">
        <v>163</v>
      </c>
      <c r="D130" s="40" t="s">
        <v>26</v>
      </c>
      <c r="E130" s="22">
        <v>150</v>
      </c>
      <c r="F130" s="39"/>
      <c r="G130" s="39"/>
      <c r="H130" s="39"/>
      <c r="I130" s="39"/>
    </row>
    <row r="131" spans="1:10" ht="16.5" customHeight="1" x14ac:dyDescent="0.25">
      <c r="A131" s="67" t="s">
        <v>164</v>
      </c>
      <c r="B131" s="64" t="s">
        <v>147</v>
      </c>
      <c r="C131" s="65">
        <v>26452</v>
      </c>
      <c r="D131" s="40" t="s">
        <v>26</v>
      </c>
      <c r="E131" s="22" t="s">
        <v>26</v>
      </c>
      <c r="F131" s="39"/>
      <c r="G131" s="39"/>
      <c r="H131" s="39"/>
      <c r="I131" s="39">
        <f>I132</f>
        <v>0</v>
      </c>
    </row>
    <row r="132" spans="1:10" ht="44.25" customHeight="1" x14ac:dyDescent="0.25">
      <c r="A132" s="67" t="s">
        <v>165</v>
      </c>
      <c r="B132" s="64" t="s">
        <v>166</v>
      </c>
      <c r="C132" s="65">
        <v>26500</v>
      </c>
      <c r="D132" s="40" t="s">
        <v>26</v>
      </c>
      <c r="E132" s="22" t="s">
        <v>26</v>
      </c>
      <c r="F132" s="39">
        <f>F134+F135+F136</f>
        <v>741238.43999999983</v>
      </c>
      <c r="G132" s="39">
        <f>G134+G135+G136</f>
        <v>1318554.3700000001</v>
      </c>
      <c r="H132" s="39">
        <f>H134+H135+H136</f>
        <v>1413754.37</v>
      </c>
      <c r="I132" s="39"/>
    </row>
    <row r="133" spans="1:10" ht="19.5" customHeight="1" x14ac:dyDescent="0.25">
      <c r="A133" s="67"/>
      <c r="B133" s="64" t="s">
        <v>167</v>
      </c>
      <c r="C133" s="65">
        <v>26510</v>
      </c>
      <c r="D133" s="40" t="s">
        <v>26</v>
      </c>
      <c r="E133" s="22" t="s">
        <v>26</v>
      </c>
      <c r="F133" s="39"/>
      <c r="G133" s="39"/>
      <c r="H133" s="39"/>
      <c r="I133" s="39"/>
    </row>
    <row r="134" spans="1:10" ht="17.25" customHeight="1" x14ac:dyDescent="0.25">
      <c r="A134" s="67" t="s">
        <v>168</v>
      </c>
      <c r="B134" s="64" t="s">
        <v>169</v>
      </c>
      <c r="C134" s="65">
        <v>26520</v>
      </c>
      <c r="D134" s="40">
        <v>2023</v>
      </c>
      <c r="E134" s="22"/>
      <c r="F134" s="39">
        <f>F115</f>
        <v>741238.43999999983</v>
      </c>
      <c r="G134" s="39"/>
      <c r="H134" s="39"/>
      <c r="I134" s="39"/>
    </row>
    <row r="135" spans="1:10" ht="14.25" customHeight="1" x14ac:dyDescent="0.25">
      <c r="A135" s="67" t="s">
        <v>170</v>
      </c>
      <c r="B135" s="64" t="s">
        <v>169</v>
      </c>
      <c r="C135" s="65">
        <v>26530</v>
      </c>
      <c r="D135" s="40">
        <v>2024</v>
      </c>
      <c r="E135" s="22"/>
      <c r="F135" s="39"/>
      <c r="G135" s="39">
        <f>G115-G134-G136</f>
        <v>1318554.3700000001</v>
      </c>
      <c r="H135" s="39"/>
      <c r="I135" s="39"/>
    </row>
    <row r="136" spans="1:10" ht="15" customHeight="1" x14ac:dyDescent="0.25">
      <c r="A136" s="67" t="s">
        <v>171</v>
      </c>
      <c r="B136" s="64" t="s">
        <v>169</v>
      </c>
      <c r="C136" s="65">
        <v>26540</v>
      </c>
      <c r="D136" s="40">
        <v>2025</v>
      </c>
      <c r="E136" s="22"/>
      <c r="F136" s="39"/>
      <c r="G136" s="39"/>
      <c r="H136" s="39">
        <f>H115</f>
        <v>1413754.37</v>
      </c>
      <c r="I136" s="39">
        <f>I137+I138</f>
        <v>0</v>
      </c>
    </row>
    <row r="137" spans="1:10" ht="44.25" customHeight="1" x14ac:dyDescent="0.25">
      <c r="A137" s="67" t="s">
        <v>172</v>
      </c>
      <c r="B137" s="64" t="s">
        <v>173</v>
      </c>
      <c r="C137" s="65">
        <v>26600</v>
      </c>
      <c r="D137" s="40" t="s">
        <v>26</v>
      </c>
      <c r="E137" s="22" t="s">
        <v>26</v>
      </c>
      <c r="F137" s="39">
        <f>F138+F139</f>
        <v>0</v>
      </c>
      <c r="G137" s="39">
        <f>G138+G139</f>
        <v>0</v>
      </c>
      <c r="H137" s="39">
        <f>H138+H139</f>
        <v>0</v>
      </c>
      <c r="I137" s="39"/>
    </row>
    <row r="138" spans="1:10" x14ac:dyDescent="0.25">
      <c r="A138" s="67"/>
      <c r="B138" s="64" t="s">
        <v>167</v>
      </c>
      <c r="C138" s="65">
        <v>26610</v>
      </c>
      <c r="D138" s="40"/>
      <c r="E138" s="22"/>
      <c r="F138" s="39"/>
      <c r="G138" s="39"/>
      <c r="H138" s="39"/>
      <c r="I138" s="39"/>
    </row>
    <row r="139" spans="1:10" x14ac:dyDescent="0.25">
      <c r="A139" s="67"/>
      <c r="B139" s="64"/>
      <c r="C139" s="40"/>
      <c r="D139" s="40"/>
      <c r="E139" s="22"/>
      <c r="F139" s="39"/>
      <c r="G139" s="39"/>
      <c r="H139" s="39"/>
      <c r="I139" s="68"/>
    </row>
    <row r="140" spans="1:10" x14ac:dyDescent="0.25">
      <c r="A140" s="69"/>
      <c r="B140" s="70"/>
      <c r="C140" s="71"/>
      <c r="D140" s="71"/>
      <c r="E140" s="71"/>
      <c r="F140" s="71"/>
      <c r="G140" s="71"/>
      <c r="H140" s="71"/>
      <c r="I140" s="19"/>
    </row>
    <row r="141" spans="1:10" ht="18.75" x14ac:dyDescent="0.3">
      <c r="A141" s="72" t="s">
        <v>185</v>
      </c>
      <c r="B141" s="73"/>
      <c r="C141" s="73"/>
      <c r="D141" s="74"/>
      <c r="E141" s="21"/>
      <c r="F141" s="75" t="s">
        <v>186</v>
      </c>
      <c r="G141" s="75"/>
      <c r="H141" s="19"/>
      <c r="I141" s="19"/>
    </row>
    <row r="142" spans="1:10" ht="18.75" x14ac:dyDescent="0.25">
      <c r="A142" s="76"/>
      <c r="B142" s="76"/>
      <c r="C142" s="76"/>
      <c r="D142" s="77" t="s">
        <v>174</v>
      </c>
      <c r="E142" s="19"/>
      <c r="F142" s="78" t="s">
        <v>175</v>
      </c>
      <c r="G142" s="79"/>
      <c r="H142" s="19"/>
      <c r="I142" s="19"/>
      <c r="J142"/>
    </row>
    <row r="143" spans="1:10" ht="18.75" x14ac:dyDescent="0.3">
      <c r="A143" s="72"/>
      <c r="B143" s="73"/>
      <c r="C143" s="73"/>
      <c r="D143" s="74"/>
      <c r="E143" s="21"/>
      <c r="F143" s="75" t="s">
        <v>176</v>
      </c>
      <c r="G143" s="75"/>
      <c r="H143" s="19"/>
      <c r="I143" s="19"/>
      <c r="J143"/>
    </row>
    <row r="144" spans="1:10" ht="18.75" x14ac:dyDescent="0.25">
      <c r="A144" s="76" t="s">
        <v>177</v>
      </c>
      <c r="B144" s="76"/>
      <c r="C144" s="76"/>
      <c r="D144" s="77" t="s">
        <v>174</v>
      </c>
      <c r="E144" s="19"/>
      <c r="F144" s="78" t="s">
        <v>175</v>
      </c>
      <c r="G144" s="79"/>
      <c r="H144" s="19"/>
      <c r="I144" s="19"/>
      <c r="J144"/>
    </row>
    <row r="145" spans="1:10" ht="18.75" x14ac:dyDescent="0.25">
      <c r="A145" s="76"/>
      <c r="B145" s="76"/>
      <c r="C145" s="76"/>
      <c r="D145" s="77"/>
      <c r="E145" s="19"/>
      <c r="F145" s="78"/>
      <c r="G145" s="78"/>
      <c r="H145" s="19"/>
      <c r="I145" s="19"/>
      <c r="J145"/>
    </row>
    <row r="146" spans="1:10" ht="17.25" customHeight="1" x14ac:dyDescent="0.3">
      <c r="A146" s="80" t="s">
        <v>187</v>
      </c>
      <c r="B146" s="80"/>
      <c r="C146" s="80"/>
      <c r="D146" s="80"/>
      <c r="E146" s="81"/>
      <c r="F146" s="81"/>
      <c r="G146" s="73"/>
      <c r="H146" s="73"/>
      <c r="I146" s="73"/>
    </row>
    <row r="147" spans="1:10" ht="18.75" hidden="1" x14ac:dyDescent="0.3">
      <c r="A147" s="120" t="s">
        <v>178</v>
      </c>
      <c r="B147" s="120"/>
      <c r="C147" s="120"/>
      <c r="D147" s="120"/>
      <c r="E147" s="120"/>
      <c r="F147" s="7"/>
      <c r="G147" s="7"/>
      <c r="H147" s="7"/>
      <c r="I147" s="5"/>
    </row>
    <row r="148" spans="1:10" hidden="1" x14ac:dyDescent="0.25">
      <c r="C148" s="5"/>
      <c r="D148" s="5"/>
      <c r="E148" s="5"/>
      <c r="F148" s="5"/>
      <c r="G148" s="5"/>
      <c r="H148" s="5"/>
      <c r="I148" s="5"/>
    </row>
    <row r="149" spans="1:10" hidden="1" x14ac:dyDescent="0.25">
      <c r="C149" s="5"/>
      <c r="D149" s="5"/>
      <c r="E149" s="5"/>
      <c r="F149" s="5"/>
      <c r="G149" s="5"/>
      <c r="H149" s="5"/>
      <c r="I149" s="5"/>
    </row>
    <row r="150" spans="1:10" hidden="1" x14ac:dyDescent="0.25">
      <c r="C150" s="5"/>
      <c r="D150" s="5"/>
      <c r="E150" s="5"/>
      <c r="F150" s="5"/>
      <c r="G150" s="5"/>
      <c r="H150" s="5"/>
      <c r="I150" s="5"/>
    </row>
    <row r="151" spans="1:10" hidden="1" x14ac:dyDescent="0.25">
      <c r="C151" s="5"/>
      <c r="D151" s="5"/>
      <c r="E151" s="5"/>
      <c r="F151" s="5"/>
      <c r="G151" s="5"/>
      <c r="H151" s="5"/>
      <c r="I151" s="5"/>
    </row>
    <row r="152" spans="1:10" hidden="1" x14ac:dyDescent="0.25">
      <c r="C152" s="5"/>
      <c r="D152" s="5"/>
      <c r="E152" s="5"/>
      <c r="F152" s="5"/>
      <c r="G152" s="5"/>
      <c r="H152" s="5"/>
      <c r="I152" s="5"/>
    </row>
    <row r="153" spans="1:10" hidden="1" x14ac:dyDescent="0.25">
      <c r="C153" s="5"/>
      <c r="D153" s="5"/>
      <c r="E153" s="5"/>
      <c r="F153" s="5"/>
      <c r="G153" s="5"/>
      <c r="H153" s="5"/>
      <c r="I153" s="5"/>
    </row>
    <row r="154" spans="1:10" hidden="1" x14ac:dyDescent="0.25">
      <c r="C154" s="5"/>
      <c r="D154" s="5"/>
      <c r="E154" s="5"/>
      <c r="F154" s="5"/>
      <c r="G154" s="5"/>
      <c r="H154" s="5"/>
      <c r="I154" s="5"/>
    </row>
    <row r="155" spans="1:10" hidden="1" x14ac:dyDescent="0.25">
      <c r="C155" s="5"/>
      <c r="D155" s="5"/>
      <c r="E155" s="5"/>
      <c r="F155" s="5"/>
      <c r="G155" s="5"/>
      <c r="H155" s="5"/>
      <c r="I155" s="5"/>
    </row>
    <row r="156" spans="1:10" hidden="1" x14ac:dyDescent="0.25">
      <c r="C156" s="5"/>
      <c r="D156" s="5"/>
      <c r="E156" s="5"/>
      <c r="F156" s="5"/>
      <c r="G156" s="5"/>
      <c r="H156" s="5"/>
      <c r="I156" s="5"/>
    </row>
    <row r="157" spans="1:10" hidden="1" x14ac:dyDescent="0.25">
      <c r="C157" s="5"/>
      <c r="D157" s="5"/>
      <c r="E157" s="5"/>
      <c r="F157" s="5"/>
      <c r="G157" s="5"/>
      <c r="H157" s="5"/>
      <c r="I157" s="5"/>
    </row>
    <row r="158" spans="1:10" hidden="1" x14ac:dyDescent="0.25">
      <c r="C158" s="5"/>
      <c r="D158" s="5"/>
      <c r="E158" s="5"/>
      <c r="F158" s="5"/>
      <c r="G158" s="5"/>
      <c r="H158" s="5"/>
      <c r="I158" s="5"/>
    </row>
    <row r="159" spans="1:10" hidden="1" x14ac:dyDescent="0.25">
      <c r="C159" s="5"/>
      <c r="D159" s="5"/>
      <c r="E159" s="5"/>
      <c r="F159" s="5"/>
      <c r="G159" s="5"/>
      <c r="H159" s="5"/>
      <c r="I159" s="5"/>
    </row>
    <row r="160" spans="1:10" hidden="1" x14ac:dyDescent="0.25">
      <c r="C160" s="5"/>
      <c r="D160" s="5"/>
      <c r="E160" s="5"/>
      <c r="F160" s="5"/>
      <c r="G160" s="5"/>
      <c r="H160" s="5"/>
      <c r="I160" s="5"/>
    </row>
    <row r="161" spans="3:9" hidden="1" x14ac:dyDescent="0.25">
      <c r="C161" s="5"/>
      <c r="D161" s="5"/>
      <c r="E161" s="5"/>
      <c r="F161" s="5"/>
      <c r="G161" s="5"/>
      <c r="H161" s="5"/>
      <c r="I161" s="5"/>
    </row>
    <row r="162" spans="3:9" x14ac:dyDescent="0.25">
      <c r="C162" s="5"/>
      <c r="D162" s="5"/>
      <c r="E162" s="5"/>
      <c r="F162" s="5"/>
      <c r="G162" s="5"/>
      <c r="H162" s="5"/>
    </row>
    <row r="163" spans="3:9" x14ac:dyDescent="0.25">
      <c r="E163" s="5"/>
    </row>
  </sheetData>
  <mergeCells count="101">
    <mergeCell ref="A147:E147"/>
    <mergeCell ref="A104:A106"/>
    <mergeCell ref="B104:B106"/>
    <mergeCell ref="C104:C106"/>
    <mergeCell ref="D104:D106"/>
    <mergeCell ref="E104:E106"/>
    <mergeCell ref="F104:I104"/>
    <mergeCell ref="F105:F106"/>
    <mergeCell ref="I105:I106"/>
    <mergeCell ref="A96:B96"/>
    <mergeCell ref="A97:B97"/>
    <mergeCell ref="A98:B98"/>
    <mergeCell ref="A99:B99"/>
    <mergeCell ref="A100:B100"/>
    <mergeCell ref="A102:H102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7:B27"/>
    <mergeCell ref="A28:B28"/>
    <mergeCell ref="A29:B29"/>
    <mergeCell ref="B16:F17"/>
    <mergeCell ref="B20:I20"/>
    <mergeCell ref="A21:B23"/>
    <mergeCell ref="C21:C23"/>
    <mergeCell ref="D21:D23"/>
    <mergeCell ref="E21:E23"/>
    <mergeCell ref="F21:I21"/>
    <mergeCell ref="I22:I23"/>
    <mergeCell ref="F2:I3"/>
    <mergeCell ref="F5:I5"/>
    <mergeCell ref="B8:I8"/>
    <mergeCell ref="B9:I9"/>
    <mergeCell ref="B11:H11"/>
    <mergeCell ref="B13:F14"/>
    <mergeCell ref="A24:B24"/>
    <mergeCell ref="A25:B25"/>
    <mergeCell ref="A26:B26"/>
  </mergeCells>
  <pageMargins left="0.47244094488188981" right="1.1811023622047245" top="0.59055118110236227" bottom="0.39370078740157483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63"/>
  <sheetViews>
    <sheetView topLeftCell="C112" zoomScaleNormal="100" zoomScaleSheetLayoutView="100" workbookViewId="0">
      <selection activeCell="M123" sqref="M123"/>
    </sheetView>
  </sheetViews>
  <sheetFormatPr defaultColWidth="9.140625" defaultRowHeight="15.75" x14ac:dyDescent="0.25"/>
  <cols>
    <col min="1" max="1" width="7.85546875" style="3" customWidth="1"/>
    <col min="2" max="2" width="62.28515625" style="1" customWidth="1"/>
    <col min="3" max="3" width="7" style="1" customWidth="1"/>
    <col min="4" max="4" width="11.42578125" style="1" customWidth="1"/>
    <col min="5" max="5" width="11.28515625" style="1" customWidth="1"/>
    <col min="6" max="8" width="14" style="1" customWidth="1"/>
    <col min="9" max="9" width="11.7109375" style="1" customWidth="1"/>
    <col min="10" max="10" width="14.28515625" style="2" bestFit="1" customWidth="1"/>
    <col min="11" max="12" width="9.140625" style="2"/>
    <col min="13" max="13" width="29.7109375" style="2" customWidth="1"/>
    <col min="14" max="16384" width="9.140625" style="2"/>
  </cols>
  <sheetData>
    <row r="1" spans="1:9" ht="15" customHeight="1" x14ac:dyDescent="0.25">
      <c r="A1" s="18"/>
      <c r="B1" s="19"/>
      <c r="C1" s="19"/>
      <c r="D1" s="19"/>
      <c r="E1" s="19"/>
      <c r="F1" s="19"/>
      <c r="G1" s="19"/>
      <c r="H1" s="19"/>
      <c r="I1" s="84" t="s">
        <v>0</v>
      </c>
    </row>
    <row r="2" spans="1:9" ht="15" customHeight="1" x14ac:dyDescent="0.25">
      <c r="A2" s="18"/>
      <c r="B2" s="19"/>
      <c r="C2" s="19"/>
      <c r="D2" s="19"/>
      <c r="E2" s="19"/>
      <c r="F2" s="170" t="s">
        <v>1</v>
      </c>
      <c r="G2" s="170"/>
      <c r="H2" s="170"/>
      <c r="I2" s="170"/>
    </row>
    <row r="3" spans="1:9" ht="15" customHeight="1" x14ac:dyDescent="0.25">
      <c r="A3" s="18"/>
      <c r="B3" s="19"/>
      <c r="C3" s="19"/>
      <c r="D3" s="19"/>
      <c r="E3" s="19"/>
      <c r="F3" s="170"/>
      <c r="G3" s="170"/>
      <c r="H3" s="170"/>
      <c r="I3" s="170"/>
    </row>
    <row r="4" spans="1:9" ht="15" customHeight="1" x14ac:dyDescent="0.25">
      <c r="A4" s="18"/>
      <c r="B4" s="19"/>
      <c r="C4" s="19"/>
      <c r="D4" s="19"/>
      <c r="E4" s="19"/>
      <c r="F4" s="19"/>
      <c r="G4" s="19"/>
      <c r="H4" s="19"/>
      <c r="I4" s="84" t="s">
        <v>2</v>
      </c>
    </row>
    <row r="5" spans="1:9" ht="15" customHeight="1" x14ac:dyDescent="0.25">
      <c r="A5" s="18"/>
      <c r="B5" s="19"/>
      <c r="C5" s="19"/>
      <c r="D5" s="19"/>
      <c r="E5" s="19"/>
      <c r="F5" s="167" t="s">
        <v>199</v>
      </c>
      <c r="G5" s="167"/>
      <c r="H5" s="167"/>
      <c r="I5" s="167"/>
    </row>
    <row r="6" spans="1:9" ht="15" customHeight="1" x14ac:dyDescent="0.25">
      <c r="A6" s="18"/>
      <c r="B6" s="19"/>
      <c r="C6" s="19"/>
      <c r="D6" s="19"/>
      <c r="E6" s="19"/>
      <c r="F6" s="19"/>
      <c r="G6" s="19"/>
      <c r="H6" s="19"/>
      <c r="I6" s="84"/>
    </row>
    <row r="7" spans="1:9" ht="15" customHeight="1" x14ac:dyDescent="0.25">
      <c r="A7" s="18"/>
      <c r="B7" s="19"/>
      <c r="C7" s="19"/>
      <c r="D7" s="19"/>
      <c r="E7" s="19"/>
      <c r="F7" s="19"/>
      <c r="G7" s="19"/>
      <c r="H7" s="19"/>
      <c r="I7" s="19"/>
    </row>
    <row r="8" spans="1:9" ht="15" customHeight="1" x14ac:dyDescent="0.3">
      <c r="A8" s="18"/>
      <c r="B8" s="168" t="s">
        <v>197</v>
      </c>
      <c r="C8" s="168"/>
      <c r="D8" s="168"/>
      <c r="E8" s="168"/>
      <c r="F8" s="168"/>
      <c r="G8" s="168"/>
      <c r="H8" s="168"/>
      <c r="I8" s="168"/>
    </row>
    <row r="9" spans="1:9" ht="15" customHeight="1" x14ac:dyDescent="0.3">
      <c r="A9" s="18"/>
      <c r="B9" s="168" t="s">
        <v>192</v>
      </c>
      <c r="C9" s="168"/>
      <c r="D9" s="168"/>
      <c r="E9" s="168"/>
      <c r="F9" s="168"/>
      <c r="G9" s="168"/>
      <c r="H9" s="168"/>
      <c r="I9" s="168"/>
    </row>
    <row r="10" spans="1:9" ht="15" customHeight="1" x14ac:dyDescent="0.25">
      <c r="A10" s="18"/>
      <c r="B10" s="19"/>
      <c r="C10" s="19"/>
      <c r="D10" s="19"/>
      <c r="E10" s="19"/>
      <c r="F10" s="19"/>
      <c r="G10" s="19"/>
      <c r="H10" s="19"/>
      <c r="I10" s="21"/>
    </row>
    <row r="11" spans="1:9" ht="15" customHeight="1" x14ac:dyDescent="0.25">
      <c r="A11" s="18"/>
      <c r="B11" s="169" t="s">
        <v>200</v>
      </c>
      <c r="C11" s="169"/>
      <c r="D11" s="169"/>
      <c r="E11" s="169"/>
      <c r="F11" s="169"/>
      <c r="G11" s="169"/>
      <c r="H11" s="169"/>
      <c r="I11" s="22" t="s">
        <v>4</v>
      </c>
    </row>
    <row r="12" spans="1:9" ht="15" customHeight="1" x14ac:dyDescent="0.25">
      <c r="A12" s="18"/>
      <c r="B12" s="19"/>
      <c r="C12" s="19"/>
      <c r="D12" s="19"/>
      <c r="E12" s="19"/>
      <c r="F12" s="19"/>
      <c r="G12" s="19"/>
      <c r="H12" s="23" t="s">
        <v>5</v>
      </c>
      <c r="I12" s="24">
        <v>44974</v>
      </c>
    </row>
    <row r="13" spans="1:9" ht="15" customHeight="1" x14ac:dyDescent="0.25">
      <c r="A13" s="18"/>
      <c r="B13" s="154" t="s">
        <v>6</v>
      </c>
      <c r="C13" s="154"/>
      <c r="D13" s="154"/>
      <c r="E13" s="154"/>
      <c r="F13" s="154"/>
      <c r="G13" s="19"/>
      <c r="H13" s="23" t="s">
        <v>7</v>
      </c>
      <c r="I13" s="22"/>
    </row>
    <row r="14" spans="1:9" ht="15" customHeight="1" x14ac:dyDescent="0.25">
      <c r="A14" s="18"/>
      <c r="B14" s="154"/>
      <c r="C14" s="154"/>
      <c r="D14" s="154"/>
      <c r="E14" s="154"/>
      <c r="F14" s="154"/>
      <c r="G14" s="25"/>
      <c r="H14" s="26" t="s">
        <v>8</v>
      </c>
      <c r="I14" s="27">
        <v>925</v>
      </c>
    </row>
    <row r="15" spans="1:9" ht="15" customHeight="1" x14ac:dyDescent="0.25">
      <c r="A15" s="18"/>
      <c r="B15" s="19"/>
      <c r="C15" s="19"/>
      <c r="D15" s="19"/>
      <c r="E15" s="19"/>
      <c r="F15" s="19"/>
      <c r="G15" s="19"/>
      <c r="H15" s="23" t="s">
        <v>7</v>
      </c>
      <c r="I15" s="22"/>
    </row>
    <row r="16" spans="1:9" ht="15" customHeight="1" x14ac:dyDescent="0.25">
      <c r="A16" s="18"/>
      <c r="B16" s="154" t="s">
        <v>184</v>
      </c>
      <c r="C16" s="154"/>
      <c r="D16" s="154"/>
      <c r="E16" s="154"/>
      <c r="F16" s="154"/>
      <c r="G16" s="25"/>
      <c r="H16" s="23" t="s">
        <v>9</v>
      </c>
      <c r="I16" s="22">
        <v>2329020879</v>
      </c>
    </row>
    <row r="17" spans="1:9" ht="15" customHeight="1" x14ac:dyDescent="0.25">
      <c r="A17" s="18"/>
      <c r="B17" s="154"/>
      <c r="C17" s="154"/>
      <c r="D17" s="154"/>
      <c r="E17" s="154"/>
      <c r="F17" s="154"/>
      <c r="G17" s="19"/>
      <c r="H17" s="23" t="s">
        <v>10</v>
      </c>
      <c r="I17" s="22">
        <v>232901001</v>
      </c>
    </row>
    <row r="18" spans="1:9" ht="15" customHeight="1" x14ac:dyDescent="0.25">
      <c r="A18" s="18"/>
      <c r="B18" s="19" t="s">
        <v>11</v>
      </c>
      <c r="C18" s="19"/>
      <c r="D18" s="19"/>
      <c r="E18" s="19"/>
      <c r="F18" s="19"/>
      <c r="G18" s="19"/>
      <c r="H18" s="23" t="s">
        <v>12</v>
      </c>
      <c r="I18" s="22">
        <v>383</v>
      </c>
    </row>
    <row r="19" spans="1:9" ht="15" customHeight="1" x14ac:dyDescent="0.25">
      <c r="A19" s="18"/>
      <c r="B19" s="19"/>
      <c r="C19" s="19"/>
      <c r="D19" s="19"/>
      <c r="E19" s="19"/>
      <c r="F19" s="19"/>
      <c r="G19" s="19"/>
      <c r="H19" s="23"/>
      <c r="I19" s="28"/>
    </row>
    <row r="20" spans="1:9" ht="15" customHeight="1" x14ac:dyDescent="0.25">
      <c r="A20" s="18"/>
      <c r="B20" s="155" t="s">
        <v>13</v>
      </c>
      <c r="C20" s="155"/>
      <c r="D20" s="155"/>
      <c r="E20" s="155"/>
      <c r="F20" s="155"/>
      <c r="G20" s="155"/>
      <c r="H20" s="155"/>
      <c r="I20" s="155"/>
    </row>
    <row r="21" spans="1:9" s="4" customFormat="1" ht="13.5" customHeight="1" x14ac:dyDescent="0.25">
      <c r="A21" s="156" t="s">
        <v>14</v>
      </c>
      <c r="B21" s="157"/>
      <c r="C21" s="130" t="s">
        <v>15</v>
      </c>
      <c r="D21" s="130" t="s">
        <v>16</v>
      </c>
      <c r="E21" s="130" t="s">
        <v>17</v>
      </c>
      <c r="F21" s="163" t="s">
        <v>18</v>
      </c>
      <c r="G21" s="164"/>
      <c r="H21" s="164"/>
      <c r="I21" s="165"/>
    </row>
    <row r="22" spans="1:9" s="4" customFormat="1" ht="15" customHeight="1" x14ac:dyDescent="0.25">
      <c r="A22" s="158"/>
      <c r="B22" s="159"/>
      <c r="C22" s="162"/>
      <c r="D22" s="162"/>
      <c r="E22" s="162"/>
      <c r="F22" s="83" t="s">
        <v>19</v>
      </c>
      <c r="G22" s="83" t="s">
        <v>179</v>
      </c>
      <c r="H22" s="83" t="s">
        <v>193</v>
      </c>
      <c r="I22" s="130" t="s">
        <v>20</v>
      </c>
    </row>
    <row r="23" spans="1:9" s="4" customFormat="1" ht="60" customHeight="1" x14ac:dyDescent="0.25">
      <c r="A23" s="160"/>
      <c r="B23" s="161"/>
      <c r="C23" s="131"/>
      <c r="D23" s="131"/>
      <c r="E23" s="131"/>
      <c r="F23" s="83" t="s">
        <v>21</v>
      </c>
      <c r="G23" s="83" t="s">
        <v>22</v>
      </c>
      <c r="H23" s="83" t="s">
        <v>23</v>
      </c>
      <c r="I23" s="131"/>
    </row>
    <row r="24" spans="1:9" s="4" customFormat="1" ht="12.75" customHeight="1" x14ac:dyDescent="0.25">
      <c r="A24" s="153">
        <v>1</v>
      </c>
      <c r="B24" s="153"/>
      <c r="C24" s="82">
        <v>2</v>
      </c>
      <c r="D24" s="82">
        <v>3</v>
      </c>
      <c r="E24" s="82">
        <v>4</v>
      </c>
      <c r="F24" s="83">
        <v>5</v>
      </c>
      <c r="G24" s="83">
        <v>6</v>
      </c>
      <c r="H24" s="83">
        <v>7</v>
      </c>
      <c r="I24" s="82">
        <v>8</v>
      </c>
    </row>
    <row r="25" spans="1:9" s="4" customFormat="1" ht="15" customHeight="1" x14ac:dyDescent="0.25">
      <c r="A25" s="148" t="s">
        <v>24</v>
      </c>
      <c r="B25" s="148"/>
      <c r="C25" s="32" t="s">
        <v>25</v>
      </c>
      <c r="D25" s="32" t="s">
        <v>26</v>
      </c>
      <c r="E25" s="83" t="s">
        <v>26</v>
      </c>
      <c r="F25" s="89">
        <f>180978.76+5255.14</f>
        <v>186233.90000000002</v>
      </c>
      <c r="G25" s="33">
        <v>0</v>
      </c>
      <c r="H25" s="33">
        <v>0</v>
      </c>
      <c r="I25" s="33">
        <v>0</v>
      </c>
    </row>
    <row r="26" spans="1:9" s="4" customFormat="1" ht="15" customHeight="1" x14ac:dyDescent="0.25">
      <c r="A26" s="148" t="s">
        <v>27</v>
      </c>
      <c r="B26" s="148"/>
      <c r="C26" s="32" t="s">
        <v>28</v>
      </c>
      <c r="D26" s="32" t="s">
        <v>26</v>
      </c>
      <c r="E26" s="83" t="s">
        <v>26</v>
      </c>
      <c r="F26" s="33">
        <f>F27+F25-F48-F99+F95</f>
        <v>0</v>
      </c>
      <c r="G26" s="33">
        <f>G27+G25-G48-G99+G95</f>
        <v>0</v>
      </c>
      <c r="H26" s="33">
        <f>H27+H25-H48-H99+H95</f>
        <v>9.3132257461547852E-10</v>
      </c>
      <c r="I26" s="33">
        <v>0</v>
      </c>
    </row>
    <row r="27" spans="1:9" s="4" customFormat="1" ht="15" customHeight="1" x14ac:dyDescent="0.2">
      <c r="A27" s="145" t="s">
        <v>29</v>
      </c>
      <c r="B27" s="145"/>
      <c r="C27" s="34" t="s">
        <v>30</v>
      </c>
      <c r="D27" s="35"/>
      <c r="E27" s="36">
        <v>100</v>
      </c>
      <c r="F27" s="37">
        <f>F28+F29+F33+F34+F45+F46+F42</f>
        <v>4615487.3600000003</v>
      </c>
      <c r="G27" s="37">
        <f>G28+G29+G33+G34+G45+G46+G42</f>
        <v>4532390.03</v>
      </c>
      <c r="H27" s="37">
        <f>H28+H29+H33+H45+H46+H42</f>
        <v>4627590.03</v>
      </c>
      <c r="I27" s="37">
        <f>I28+I29+I33+I34+I44+I45</f>
        <v>0</v>
      </c>
    </row>
    <row r="28" spans="1:9" s="4" customFormat="1" ht="26.25" customHeight="1" x14ac:dyDescent="0.25">
      <c r="A28" s="148" t="s">
        <v>31</v>
      </c>
      <c r="B28" s="148"/>
      <c r="C28" s="38" t="s">
        <v>32</v>
      </c>
      <c r="D28" s="32" t="s">
        <v>33</v>
      </c>
      <c r="E28" s="83"/>
      <c r="F28" s="33"/>
      <c r="G28" s="33"/>
      <c r="H28" s="33"/>
      <c r="I28" s="33"/>
    </row>
    <row r="29" spans="1:9" s="4" customFormat="1" ht="15" customHeight="1" x14ac:dyDescent="0.25">
      <c r="A29" s="148" t="s">
        <v>34</v>
      </c>
      <c r="B29" s="148"/>
      <c r="C29" s="32" t="s">
        <v>35</v>
      </c>
      <c r="D29" s="32" t="s">
        <v>36</v>
      </c>
      <c r="E29" s="83">
        <v>131</v>
      </c>
      <c r="F29" s="33">
        <f>F30+F32+F43+F45</f>
        <v>4209587.3600000003</v>
      </c>
      <c r="G29" s="33">
        <f>G30+G32+G43+G45</f>
        <v>4039290.0300000003</v>
      </c>
      <c r="H29" s="33">
        <f>H30+H32+H43+H45+H35</f>
        <v>4627590.03</v>
      </c>
      <c r="I29" s="33">
        <f t="shared" ref="I29" si="0">SUM(I30:I32)</f>
        <v>0</v>
      </c>
    </row>
    <row r="30" spans="1:9" s="4" customFormat="1" ht="61.5" customHeight="1" x14ac:dyDescent="0.25">
      <c r="A30" s="148" t="s">
        <v>37</v>
      </c>
      <c r="B30" s="148"/>
      <c r="C30" s="32" t="s">
        <v>38</v>
      </c>
      <c r="D30" s="32" t="s">
        <v>36</v>
      </c>
      <c r="E30" s="83"/>
      <c r="F30" s="89">
        <f>2184433.1+1521494.77+172500+160796.99</f>
        <v>4039224.8600000003</v>
      </c>
      <c r="G30" s="89">
        <f>3927840.37-170362.5+111449.66</f>
        <v>3868927.5300000003</v>
      </c>
      <c r="H30" s="89">
        <f>3969440.37-170362.5+111449.66</f>
        <v>3910527.5300000003</v>
      </c>
      <c r="I30" s="33"/>
    </row>
    <row r="31" spans="1:9" s="4" customFormat="1" ht="48" customHeight="1" x14ac:dyDescent="0.25">
      <c r="A31" s="148" t="s">
        <v>39</v>
      </c>
      <c r="B31" s="148"/>
      <c r="C31" s="32" t="s">
        <v>40</v>
      </c>
      <c r="D31" s="32" t="s">
        <v>36</v>
      </c>
      <c r="E31" s="83"/>
      <c r="F31" s="33"/>
      <c r="G31" s="33"/>
      <c r="H31" s="33"/>
      <c r="I31" s="33"/>
    </row>
    <row r="32" spans="1:9" s="4" customFormat="1" ht="47.25" customHeight="1" x14ac:dyDescent="0.25">
      <c r="A32" s="148" t="s">
        <v>41</v>
      </c>
      <c r="B32" s="148"/>
      <c r="C32" s="32" t="s">
        <v>42</v>
      </c>
      <c r="D32" s="32" t="s">
        <v>36</v>
      </c>
      <c r="E32" s="83"/>
      <c r="F32" s="89">
        <f>170362.5</f>
        <v>170362.5</v>
      </c>
      <c r="G32" s="89">
        <v>170362.5</v>
      </c>
      <c r="H32" s="89">
        <v>170362.5</v>
      </c>
      <c r="I32" s="33"/>
    </row>
    <row r="33" spans="1:9" s="4" customFormat="1" ht="15" customHeight="1" x14ac:dyDescent="0.25">
      <c r="A33" s="148" t="s">
        <v>43</v>
      </c>
      <c r="B33" s="148"/>
      <c r="C33" s="32" t="s">
        <v>44</v>
      </c>
      <c r="D33" s="32" t="s">
        <v>45</v>
      </c>
      <c r="E33" s="83"/>
      <c r="F33" s="33"/>
      <c r="G33" s="33"/>
      <c r="H33" s="33"/>
      <c r="I33" s="33"/>
    </row>
    <row r="34" spans="1:9" s="4" customFormat="1" ht="15" customHeight="1" x14ac:dyDescent="0.25">
      <c r="A34" s="148" t="s">
        <v>46</v>
      </c>
      <c r="B34" s="148"/>
      <c r="C34" s="32" t="s">
        <v>47</v>
      </c>
      <c r="D34" s="32" t="s">
        <v>48</v>
      </c>
      <c r="E34" s="83"/>
      <c r="F34" s="33">
        <f>F35</f>
        <v>405900</v>
      </c>
      <c r="G34" s="33">
        <f>G35</f>
        <v>493100</v>
      </c>
      <c r="H34" s="33">
        <f>H35</f>
        <v>546700</v>
      </c>
      <c r="I34" s="33"/>
    </row>
    <row r="35" spans="1:9" s="4" customFormat="1" ht="15" customHeight="1" x14ac:dyDescent="0.25">
      <c r="A35" s="148" t="s">
        <v>49</v>
      </c>
      <c r="B35" s="148"/>
      <c r="C35" s="32" t="s">
        <v>50</v>
      </c>
      <c r="D35" s="32" t="s">
        <v>48</v>
      </c>
      <c r="E35" s="83"/>
      <c r="F35" s="33">
        <f>SUM(F36:F40)</f>
        <v>405900</v>
      </c>
      <c r="G35" s="33">
        <f>SUM(G36:G40)</f>
        <v>493100</v>
      </c>
      <c r="H35" s="33">
        <f>SUM(H36:H40)</f>
        <v>546700</v>
      </c>
      <c r="I35" s="33"/>
    </row>
    <row r="36" spans="1:9" s="4" customFormat="1" ht="27" customHeight="1" x14ac:dyDescent="0.25">
      <c r="A36" s="149" t="s">
        <v>195</v>
      </c>
      <c r="B36" s="150"/>
      <c r="C36" s="32"/>
      <c r="D36" s="32"/>
      <c r="E36" s="83"/>
      <c r="F36" s="89">
        <f>246900-10000</f>
        <v>236900</v>
      </c>
      <c r="G36" s="89">
        <v>236900</v>
      </c>
      <c r="H36" s="89">
        <v>236900</v>
      </c>
      <c r="I36" s="33"/>
    </row>
    <row r="37" spans="1:9" s="4" customFormat="1" ht="26.25" customHeight="1" x14ac:dyDescent="0.25">
      <c r="A37" s="151" t="s">
        <v>196</v>
      </c>
      <c r="B37" s="152"/>
      <c r="C37" s="32"/>
      <c r="D37" s="32"/>
      <c r="E37" s="83"/>
      <c r="F37" s="89">
        <v>10000</v>
      </c>
      <c r="G37" s="89">
        <v>10000</v>
      </c>
      <c r="H37" s="89">
        <v>10000</v>
      </c>
      <c r="I37" s="33"/>
    </row>
    <row r="38" spans="1:9" s="4" customFormat="1" ht="35.25" customHeight="1" x14ac:dyDescent="0.25">
      <c r="A38" s="148" t="s">
        <v>183</v>
      </c>
      <c r="B38" s="148"/>
      <c r="C38" s="32"/>
      <c r="D38" s="32"/>
      <c r="E38" s="83"/>
      <c r="F38" s="89">
        <v>23700</v>
      </c>
      <c r="G38" s="89">
        <v>23700</v>
      </c>
      <c r="H38" s="89">
        <v>23700</v>
      </c>
      <c r="I38" s="33"/>
    </row>
    <row r="39" spans="1:9" s="4" customFormat="1" ht="39" customHeight="1" x14ac:dyDescent="0.25">
      <c r="A39" s="148" t="s">
        <v>180</v>
      </c>
      <c r="B39" s="148"/>
      <c r="C39" s="32"/>
      <c r="D39" s="32"/>
      <c r="E39" s="83"/>
      <c r="F39" s="89">
        <v>70700</v>
      </c>
      <c r="G39" s="89">
        <v>70700</v>
      </c>
      <c r="H39" s="89">
        <v>70700</v>
      </c>
      <c r="I39" s="33"/>
    </row>
    <row r="40" spans="1:9" s="4" customFormat="1" ht="42" customHeight="1" x14ac:dyDescent="0.25">
      <c r="A40" s="148" t="s">
        <v>181</v>
      </c>
      <c r="B40" s="148"/>
      <c r="C40" s="32"/>
      <c r="D40" s="32"/>
      <c r="E40" s="83"/>
      <c r="F40" s="89">
        <f>32300+32300</f>
        <v>64600</v>
      </c>
      <c r="G40" s="89">
        <v>151800</v>
      </c>
      <c r="H40" s="89">
        <v>205400</v>
      </c>
      <c r="I40" s="33"/>
    </row>
    <row r="41" spans="1:9" s="4" customFormat="1" ht="19.5" customHeight="1" x14ac:dyDescent="0.25">
      <c r="A41" s="148" t="s">
        <v>51</v>
      </c>
      <c r="B41" s="148"/>
      <c r="C41" s="32" t="s">
        <v>52</v>
      </c>
      <c r="D41" s="32" t="s">
        <v>48</v>
      </c>
      <c r="E41" s="83"/>
      <c r="F41" s="33"/>
      <c r="G41" s="33"/>
      <c r="H41" s="33"/>
      <c r="I41" s="33"/>
    </row>
    <row r="42" spans="1:9" s="4" customFormat="1" ht="43.5" customHeight="1" x14ac:dyDescent="0.25">
      <c r="A42" s="146" t="s">
        <v>53</v>
      </c>
      <c r="B42" s="147"/>
      <c r="C42" s="32" t="s">
        <v>54</v>
      </c>
      <c r="D42" s="32" t="s">
        <v>48</v>
      </c>
      <c r="E42" s="83"/>
      <c r="F42" s="33"/>
      <c r="G42" s="33"/>
      <c r="H42" s="33"/>
      <c r="I42" s="33"/>
    </row>
    <row r="43" spans="1:9" s="4" customFormat="1" ht="15" customHeight="1" x14ac:dyDescent="0.25">
      <c r="A43" s="148" t="s">
        <v>55</v>
      </c>
      <c r="B43" s="148"/>
      <c r="C43" s="32" t="s">
        <v>56</v>
      </c>
      <c r="D43" s="32" t="s">
        <v>57</v>
      </c>
      <c r="E43" s="83"/>
      <c r="F43" s="33"/>
      <c r="G43" s="33"/>
      <c r="H43" s="33"/>
      <c r="I43" s="33"/>
    </row>
    <row r="44" spans="1:9" s="4" customFormat="1" ht="15" customHeight="1" x14ac:dyDescent="0.25">
      <c r="A44" s="146" t="s">
        <v>58</v>
      </c>
      <c r="B44" s="147"/>
      <c r="C44" s="32"/>
      <c r="D44" s="32"/>
      <c r="E44" s="83"/>
      <c r="F44" s="33"/>
      <c r="G44" s="33"/>
      <c r="H44" s="33"/>
      <c r="I44" s="33"/>
    </row>
    <row r="45" spans="1:9" s="4" customFormat="1" ht="15" customHeight="1" x14ac:dyDescent="0.25">
      <c r="A45" s="148" t="s">
        <v>59</v>
      </c>
      <c r="B45" s="148"/>
      <c r="C45" s="32" t="s">
        <v>60</v>
      </c>
      <c r="D45" s="32" t="s">
        <v>61</v>
      </c>
      <c r="E45" s="83"/>
      <c r="F45" s="33"/>
      <c r="G45" s="33"/>
      <c r="H45" s="33"/>
      <c r="I45" s="33"/>
    </row>
    <row r="46" spans="1:9" s="4" customFormat="1" ht="17.25" customHeight="1" x14ac:dyDescent="0.25">
      <c r="A46" s="148" t="s">
        <v>62</v>
      </c>
      <c r="B46" s="148"/>
      <c r="C46" s="32" t="s">
        <v>63</v>
      </c>
      <c r="D46" s="32" t="s">
        <v>26</v>
      </c>
      <c r="E46" s="83"/>
      <c r="F46" s="33"/>
      <c r="G46" s="33"/>
      <c r="H46" s="33"/>
      <c r="I46" s="33" t="s">
        <v>26</v>
      </c>
    </row>
    <row r="47" spans="1:9" s="4" customFormat="1" ht="42" customHeight="1" x14ac:dyDescent="0.25">
      <c r="A47" s="148" t="s">
        <v>64</v>
      </c>
      <c r="B47" s="148"/>
      <c r="C47" s="32" t="s">
        <v>65</v>
      </c>
      <c r="D47" s="32" t="s">
        <v>66</v>
      </c>
      <c r="E47" s="83"/>
      <c r="F47" s="33"/>
      <c r="G47" s="33"/>
      <c r="H47" s="33"/>
      <c r="I47" s="37"/>
    </row>
    <row r="48" spans="1:9" s="4" customFormat="1" ht="30" customHeight="1" x14ac:dyDescent="0.25">
      <c r="A48" s="145" t="s">
        <v>67</v>
      </c>
      <c r="B48" s="145"/>
      <c r="C48" s="35" t="s">
        <v>68</v>
      </c>
      <c r="D48" s="35" t="s">
        <v>26</v>
      </c>
      <c r="E48" s="36">
        <v>200</v>
      </c>
      <c r="F48" s="37">
        <f>F49+F59+F66+F70+F77+F79</f>
        <v>4801721.2600000007</v>
      </c>
      <c r="G48" s="37">
        <f>G49+G59+G66+G70+G77+G79</f>
        <v>4532390.03</v>
      </c>
      <c r="H48" s="37">
        <f>H49+H59+H66+H70+H77+H79</f>
        <v>4627590.0299999993</v>
      </c>
      <c r="I48" s="39" t="s">
        <v>26</v>
      </c>
    </row>
    <row r="49" spans="1:9" s="4" customFormat="1" ht="25.5" customHeight="1" x14ac:dyDescent="0.25">
      <c r="A49" s="143" t="s">
        <v>69</v>
      </c>
      <c r="B49" s="143"/>
      <c r="C49" s="40">
        <v>2100</v>
      </c>
      <c r="D49" s="35" t="s">
        <v>26</v>
      </c>
      <c r="E49" s="40">
        <v>210</v>
      </c>
      <c r="F49" s="39">
        <f>F50+F51+F52+F53+F54+F55+F56</f>
        <v>3229922.9900000007</v>
      </c>
      <c r="G49" s="39">
        <f>G50+G51+G52+G53+G54+G55+G56</f>
        <v>3181075.66</v>
      </c>
      <c r="H49" s="39">
        <f>H50+H51+H52+H53+H54+H55+H56</f>
        <v>3181075.6599999997</v>
      </c>
      <c r="I49" s="39" t="s">
        <v>26</v>
      </c>
    </row>
    <row r="50" spans="1:9" s="4" customFormat="1" ht="30" customHeight="1" x14ac:dyDescent="0.25">
      <c r="A50" s="144" t="s">
        <v>70</v>
      </c>
      <c r="B50" s="144"/>
      <c r="C50" s="40">
        <v>2110</v>
      </c>
      <c r="D50" s="40">
        <v>111</v>
      </c>
      <c r="E50" s="40">
        <v>211</v>
      </c>
      <c r="F50" s="90">
        <f>1023246+1152426.81+84754.22+97196.62-603.62+785.91-384.02+1159.75+123499.99</f>
        <v>2482081.6600000006</v>
      </c>
      <c r="G50" s="90">
        <f>1023246+1152426.81+84754.22+97196.62+85598.82</f>
        <v>2443222.4700000002</v>
      </c>
      <c r="H50" s="90">
        <f>2357623.65+85598.82</f>
        <v>2443222.4699999997</v>
      </c>
      <c r="I50" s="39" t="s">
        <v>26</v>
      </c>
    </row>
    <row r="51" spans="1:9" s="4" customFormat="1" ht="23.25" customHeight="1" x14ac:dyDescent="0.25">
      <c r="A51" s="144" t="s">
        <v>71</v>
      </c>
      <c r="B51" s="144"/>
      <c r="C51" s="40">
        <v>2120</v>
      </c>
      <c r="D51" s="40">
        <v>112</v>
      </c>
      <c r="E51" s="40">
        <v>266</v>
      </c>
      <c r="F51" s="39"/>
      <c r="G51" s="39"/>
      <c r="H51" s="39"/>
      <c r="I51" s="39" t="s">
        <v>26</v>
      </c>
    </row>
    <row r="52" spans="1:9" s="4" customFormat="1" ht="31.5" customHeight="1" x14ac:dyDescent="0.25">
      <c r="A52" s="144" t="s">
        <v>72</v>
      </c>
      <c r="B52" s="144"/>
      <c r="C52" s="40">
        <v>2130</v>
      </c>
      <c r="D52" s="40">
        <v>113</v>
      </c>
      <c r="E52" s="40">
        <v>226</v>
      </c>
      <c r="F52" s="39"/>
      <c r="G52" s="39"/>
      <c r="H52" s="39"/>
      <c r="I52" s="39" t="s">
        <v>26</v>
      </c>
    </row>
    <row r="53" spans="1:9" s="4" customFormat="1" ht="34.5" customHeight="1" x14ac:dyDescent="0.25">
      <c r="A53" s="144" t="s">
        <v>73</v>
      </c>
      <c r="B53" s="144"/>
      <c r="C53" s="40">
        <v>2140</v>
      </c>
      <c r="D53" s="40">
        <v>119</v>
      </c>
      <c r="E53" s="40">
        <v>213</v>
      </c>
      <c r="F53" s="90">
        <f>309020.29+348032.9+25595.78+29353.38-182.29-115.98-1159.75+37297</f>
        <v>747841.33</v>
      </c>
      <c r="G53" s="90">
        <f>25595.78+29353.38+309020.29+348032.9+25850.84</f>
        <v>737853.19</v>
      </c>
      <c r="H53" s="90">
        <f>712002.35+25850.84</f>
        <v>737853.19</v>
      </c>
      <c r="I53" s="39" t="s">
        <v>26</v>
      </c>
    </row>
    <row r="54" spans="1:9" s="4" customFormat="1" ht="29.25" customHeight="1" x14ac:dyDescent="0.25">
      <c r="A54" s="144" t="s">
        <v>74</v>
      </c>
      <c r="B54" s="144"/>
      <c r="C54" s="40">
        <v>2150</v>
      </c>
      <c r="D54" s="40">
        <v>131</v>
      </c>
      <c r="E54" s="40"/>
      <c r="F54" s="39"/>
      <c r="G54" s="39"/>
      <c r="H54" s="39"/>
      <c r="I54" s="39" t="s">
        <v>26</v>
      </c>
    </row>
    <row r="55" spans="1:9" s="4" customFormat="1" ht="29.25" customHeight="1" x14ac:dyDescent="0.25">
      <c r="A55" s="144" t="s">
        <v>75</v>
      </c>
      <c r="B55" s="144"/>
      <c r="C55" s="40">
        <v>2170</v>
      </c>
      <c r="D55" s="40">
        <v>134</v>
      </c>
      <c r="E55" s="40"/>
      <c r="F55" s="39"/>
      <c r="G55" s="39"/>
      <c r="H55" s="39"/>
      <c r="I55" s="39" t="s">
        <v>26</v>
      </c>
    </row>
    <row r="56" spans="1:9" s="4" customFormat="1" ht="32.25" customHeight="1" x14ac:dyDescent="0.25">
      <c r="A56" s="144" t="s">
        <v>76</v>
      </c>
      <c r="B56" s="144"/>
      <c r="C56" s="40">
        <v>2180</v>
      </c>
      <c r="D56" s="40">
        <v>139</v>
      </c>
      <c r="E56" s="40"/>
      <c r="F56" s="39">
        <f>F57+F58</f>
        <v>0</v>
      </c>
      <c r="G56" s="39">
        <f t="shared" ref="G56:H56" si="1">G57+G58</f>
        <v>0</v>
      </c>
      <c r="H56" s="39">
        <f t="shared" si="1"/>
        <v>0</v>
      </c>
      <c r="I56" s="39" t="s">
        <v>26</v>
      </c>
    </row>
    <row r="57" spans="1:9" s="4" customFormat="1" ht="30" customHeight="1" x14ac:dyDescent="0.25">
      <c r="A57" s="143" t="s">
        <v>77</v>
      </c>
      <c r="B57" s="143"/>
      <c r="C57" s="40">
        <v>2181</v>
      </c>
      <c r="D57" s="40">
        <v>139</v>
      </c>
      <c r="E57" s="40"/>
      <c r="F57" s="39"/>
      <c r="G57" s="39"/>
      <c r="H57" s="39"/>
      <c r="I57" s="39" t="s">
        <v>26</v>
      </c>
    </row>
    <row r="58" spans="1:9" s="4" customFormat="1" ht="16.5" customHeight="1" x14ac:dyDescent="0.25">
      <c r="A58" s="143" t="s">
        <v>78</v>
      </c>
      <c r="B58" s="143"/>
      <c r="C58" s="40">
        <v>2172</v>
      </c>
      <c r="D58" s="40">
        <v>139</v>
      </c>
      <c r="E58" s="40"/>
      <c r="F58" s="39"/>
      <c r="G58" s="39"/>
      <c r="H58" s="39"/>
      <c r="I58" s="39" t="s">
        <v>26</v>
      </c>
    </row>
    <row r="59" spans="1:9" s="4" customFormat="1" ht="17.25" customHeight="1" x14ac:dyDescent="0.25">
      <c r="A59" s="143" t="s">
        <v>79</v>
      </c>
      <c r="B59" s="143"/>
      <c r="C59" s="40">
        <v>2200</v>
      </c>
      <c r="D59" s="40">
        <v>300</v>
      </c>
      <c r="E59" s="40"/>
      <c r="F59" s="39">
        <f>F60+F63+F64+F65</f>
        <v>23700</v>
      </c>
      <c r="G59" s="39">
        <f>G60+G63+G64+G65</f>
        <v>23700</v>
      </c>
      <c r="H59" s="39">
        <f>H60+H63+H64+H65</f>
        <v>23700</v>
      </c>
      <c r="I59" s="39" t="s">
        <v>26</v>
      </c>
    </row>
    <row r="60" spans="1:9" s="4" customFormat="1" ht="45" customHeight="1" x14ac:dyDescent="0.25">
      <c r="A60" s="143" t="s">
        <v>80</v>
      </c>
      <c r="B60" s="143"/>
      <c r="C60" s="40">
        <v>2210</v>
      </c>
      <c r="D60" s="40">
        <v>320</v>
      </c>
      <c r="E60" s="40"/>
      <c r="F60" s="39">
        <f>SUM(F61:F62)</f>
        <v>23700</v>
      </c>
      <c r="G60" s="39">
        <f t="shared" ref="G60:H60" si="2">SUM(G61:G62)</f>
        <v>23700</v>
      </c>
      <c r="H60" s="39">
        <f t="shared" si="2"/>
        <v>23700</v>
      </c>
      <c r="I60" s="39" t="s">
        <v>26</v>
      </c>
    </row>
    <row r="61" spans="1:9" s="4" customFormat="1" ht="43.5" customHeight="1" x14ac:dyDescent="0.25">
      <c r="A61" s="143" t="s">
        <v>81</v>
      </c>
      <c r="B61" s="143"/>
      <c r="C61" s="40">
        <v>2211</v>
      </c>
      <c r="D61" s="40">
        <v>321</v>
      </c>
      <c r="E61" s="40">
        <v>267</v>
      </c>
      <c r="F61" s="90">
        <v>23700</v>
      </c>
      <c r="G61" s="90">
        <v>23700</v>
      </c>
      <c r="H61" s="90">
        <v>23700</v>
      </c>
      <c r="I61" s="39"/>
    </row>
    <row r="62" spans="1:9" s="4" customFormat="1" ht="30.75" customHeight="1" x14ac:dyDescent="0.25">
      <c r="A62" s="143" t="s">
        <v>82</v>
      </c>
      <c r="B62" s="143"/>
      <c r="C62" s="40">
        <v>2212</v>
      </c>
      <c r="D62" s="40">
        <v>321</v>
      </c>
      <c r="E62" s="40">
        <v>263</v>
      </c>
      <c r="F62" s="39"/>
      <c r="G62" s="39"/>
      <c r="H62" s="39"/>
      <c r="I62" s="39" t="s">
        <v>26</v>
      </c>
    </row>
    <row r="63" spans="1:9" s="4" customFormat="1" ht="33" customHeight="1" x14ac:dyDescent="0.25">
      <c r="A63" s="143" t="s">
        <v>83</v>
      </c>
      <c r="B63" s="143"/>
      <c r="C63" s="40">
        <v>2220</v>
      </c>
      <c r="D63" s="40">
        <v>340</v>
      </c>
      <c r="E63" s="40"/>
      <c r="F63" s="39"/>
      <c r="G63" s="39"/>
      <c r="H63" s="39"/>
      <c r="I63" s="39" t="s">
        <v>26</v>
      </c>
    </row>
    <row r="64" spans="1:9" s="4" customFormat="1" ht="13.5" customHeight="1" x14ac:dyDescent="0.25">
      <c r="A64" s="143" t="s">
        <v>84</v>
      </c>
      <c r="B64" s="143"/>
      <c r="C64" s="40">
        <v>2230</v>
      </c>
      <c r="D64" s="40">
        <v>350</v>
      </c>
      <c r="E64" s="40"/>
      <c r="F64" s="39"/>
      <c r="G64" s="39"/>
      <c r="H64" s="39"/>
      <c r="I64" s="39" t="s">
        <v>26</v>
      </c>
    </row>
    <row r="65" spans="1:9" s="4" customFormat="1" ht="18" customHeight="1" x14ac:dyDescent="0.25">
      <c r="A65" s="143" t="s">
        <v>85</v>
      </c>
      <c r="B65" s="143"/>
      <c r="C65" s="40">
        <v>2240</v>
      </c>
      <c r="D65" s="40">
        <v>360</v>
      </c>
      <c r="E65" s="40"/>
      <c r="F65" s="39"/>
      <c r="G65" s="39"/>
      <c r="H65" s="39"/>
      <c r="I65" s="39" t="s">
        <v>26</v>
      </c>
    </row>
    <row r="66" spans="1:9" s="4" customFormat="1" ht="17.25" customHeight="1" x14ac:dyDescent="0.25">
      <c r="A66" s="143" t="s">
        <v>86</v>
      </c>
      <c r="B66" s="143"/>
      <c r="C66" s="40">
        <v>2300</v>
      </c>
      <c r="D66" s="40">
        <v>850</v>
      </c>
      <c r="E66" s="40"/>
      <c r="F66" s="39">
        <f>SUM(F67:F69)</f>
        <v>10350.34</v>
      </c>
      <c r="G66" s="39">
        <f t="shared" ref="G66:H66" si="3">SUM(G67:G69)</f>
        <v>9060</v>
      </c>
      <c r="H66" s="39">
        <f t="shared" si="3"/>
        <v>9060</v>
      </c>
      <c r="I66" s="39" t="s">
        <v>26</v>
      </c>
    </row>
    <row r="67" spans="1:9" s="4" customFormat="1" ht="27" customHeight="1" x14ac:dyDescent="0.25">
      <c r="A67" s="143" t="s">
        <v>87</v>
      </c>
      <c r="B67" s="143"/>
      <c r="C67" s="40">
        <v>2310</v>
      </c>
      <c r="D67" s="40">
        <v>851</v>
      </c>
      <c r="E67" s="40">
        <v>290</v>
      </c>
      <c r="F67" s="90">
        <v>9050</v>
      </c>
      <c r="G67" s="90">
        <v>9000</v>
      </c>
      <c r="H67" s="90">
        <v>9000</v>
      </c>
      <c r="I67" s="41" t="s">
        <v>26</v>
      </c>
    </row>
    <row r="68" spans="1:9" s="4" customFormat="1" ht="33" customHeight="1" x14ac:dyDescent="0.25">
      <c r="A68" s="132" t="s">
        <v>88</v>
      </c>
      <c r="B68" s="132"/>
      <c r="C68" s="42">
        <v>2320</v>
      </c>
      <c r="D68" s="42">
        <v>852</v>
      </c>
      <c r="E68" s="42">
        <v>290</v>
      </c>
      <c r="F68" s="91">
        <v>20</v>
      </c>
      <c r="G68" s="91">
        <v>60</v>
      </c>
      <c r="H68" s="91">
        <v>60</v>
      </c>
      <c r="I68" s="41" t="s">
        <v>26</v>
      </c>
    </row>
    <row r="69" spans="1:9" s="4" customFormat="1" ht="17.25" customHeight="1" x14ac:dyDescent="0.25">
      <c r="A69" s="132" t="s">
        <v>89</v>
      </c>
      <c r="B69" s="132"/>
      <c r="C69" s="42">
        <v>2330</v>
      </c>
      <c r="D69" s="42">
        <v>853</v>
      </c>
      <c r="E69" s="42">
        <v>290</v>
      </c>
      <c r="F69" s="91">
        <f>10+1270.34</f>
        <v>1280.3399999999999</v>
      </c>
      <c r="G69" s="91">
        <v>0</v>
      </c>
      <c r="H69" s="91"/>
      <c r="I69" s="41" t="s">
        <v>26</v>
      </c>
    </row>
    <row r="70" spans="1:9" s="4" customFormat="1" ht="15.75" customHeight="1" x14ac:dyDescent="0.25">
      <c r="A70" s="132" t="s">
        <v>90</v>
      </c>
      <c r="B70" s="132"/>
      <c r="C70" s="42">
        <v>2400</v>
      </c>
      <c r="D70" s="42" t="s">
        <v>26</v>
      </c>
      <c r="E70" s="42"/>
      <c r="F70" s="41">
        <f>SUM(F71:F73)</f>
        <v>0</v>
      </c>
      <c r="G70" s="41">
        <f t="shared" ref="G70:H70" si="4">SUM(G71:G73)</f>
        <v>0</v>
      </c>
      <c r="H70" s="41">
        <f t="shared" si="4"/>
        <v>0</v>
      </c>
      <c r="I70" s="41" t="s">
        <v>26</v>
      </c>
    </row>
    <row r="71" spans="1:9" s="4" customFormat="1" ht="29.25" customHeight="1" x14ac:dyDescent="0.25">
      <c r="A71" s="132" t="s">
        <v>91</v>
      </c>
      <c r="B71" s="132"/>
      <c r="C71" s="42">
        <v>2410</v>
      </c>
      <c r="D71" s="42">
        <v>613</v>
      </c>
      <c r="E71" s="42"/>
      <c r="F71" s="41"/>
      <c r="G71" s="41"/>
      <c r="H71" s="41"/>
      <c r="I71" s="41" t="s">
        <v>26</v>
      </c>
    </row>
    <row r="72" spans="1:9" s="4" customFormat="1" ht="16.5" customHeight="1" x14ac:dyDescent="0.25">
      <c r="A72" s="132" t="s">
        <v>92</v>
      </c>
      <c r="B72" s="132"/>
      <c r="C72" s="42">
        <v>2420</v>
      </c>
      <c r="D72" s="42">
        <v>623</v>
      </c>
      <c r="E72" s="42"/>
      <c r="F72" s="41"/>
      <c r="G72" s="41"/>
      <c r="H72" s="41"/>
      <c r="I72" s="41" t="s">
        <v>26</v>
      </c>
    </row>
    <row r="73" spans="1:9" s="4" customFormat="1" ht="28.5" customHeight="1" x14ac:dyDescent="0.25">
      <c r="A73" s="132" t="s">
        <v>93</v>
      </c>
      <c r="B73" s="132"/>
      <c r="C73" s="42">
        <v>2430</v>
      </c>
      <c r="D73" s="42">
        <v>634</v>
      </c>
      <c r="E73" s="42"/>
      <c r="F73" s="41"/>
      <c r="G73" s="41"/>
      <c r="H73" s="41"/>
      <c r="I73" s="41" t="s">
        <v>26</v>
      </c>
    </row>
    <row r="74" spans="1:9" s="4" customFormat="1" ht="15.75" customHeight="1" x14ac:dyDescent="0.25">
      <c r="A74" s="132" t="s">
        <v>94</v>
      </c>
      <c r="B74" s="132"/>
      <c r="C74" s="42">
        <v>2440</v>
      </c>
      <c r="D74" s="42">
        <v>810</v>
      </c>
      <c r="E74" s="42"/>
      <c r="F74" s="41"/>
      <c r="G74" s="41"/>
      <c r="H74" s="41"/>
      <c r="I74" s="41"/>
    </row>
    <row r="75" spans="1:9" s="4" customFormat="1" ht="16.5" customHeight="1" x14ac:dyDescent="0.25">
      <c r="A75" s="141" t="s">
        <v>95</v>
      </c>
      <c r="B75" s="142"/>
      <c r="C75" s="42">
        <v>2450</v>
      </c>
      <c r="D75" s="42">
        <v>862</v>
      </c>
      <c r="E75" s="42"/>
      <c r="F75" s="41"/>
      <c r="G75" s="41"/>
      <c r="H75" s="41"/>
      <c r="I75" s="41"/>
    </row>
    <row r="76" spans="1:9" s="4" customFormat="1" ht="30" customHeight="1" x14ac:dyDescent="0.25">
      <c r="A76" s="141" t="s">
        <v>96</v>
      </c>
      <c r="B76" s="142"/>
      <c r="C76" s="42">
        <v>2460</v>
      </c>
      <c r="D76" s="42">
        <v>863</v>
      </c>
      <c r="E76" s="42"/>
      <c r="F76" s="41"/>
      <c r="G76" s="41"/>
      <c r="H76" s="41"/>
      <c r="I76" s="41" t="s">
        <v>26</v>
      </c>
    </row>
    <row r="77" spans="1:9" s="4" customFormat="1" ht="17.25" customHeight="1" x14ac:dyDescent="0.25">
      <c r="A77" s="132" t="s">
        <v>97</v>
      </c>
      <c r="B77" s="132"/>
      <c r="C77" s="42">
        <v>2500</v>
      </c>
      <c r="D77" s="42" t="s">
        <v>26</v>
      </c>
      <c r="E77" s="42"/>
      <c r="F77" s="41">
        <f>F78</f>
        <v>0</v>
      </c>
      <c r="G77" s="41">
        <f t="shared" ref="G77:H77" si="5">G78</f>
        <v>0</v>
      </c>
      <c r="H77" s="41">
        <f t="shared" si="5"/>
        <v>0</v>
      </c>
      <c r="I77" s="41" t="s">
        <v>26</v>
      </c>
    </row>
    <row r="78" spans="1:9" s="4" customFormat="1" ht="47.25" customHeight="1" x14ac:dyDescent="0.25">
      <c r="A78" s="132" t="s">
        <v>98</v>
      </c>
      <c r="B78" s="132"/>
      <c r="C78" s="42">
        <v>2520</v>
      </c>
      <c r="D78" s="42">
        <v>831</v>
      </c>
      <c r="E78" s="42"/>
      <c r="F78" s="41"/>
      <c r="G78" s="41"/>
      <c r="H78" s="41"/>
      <c r="I78" s="41"/>
    </row>
    <row r="79" spans="1:9" s="4" customFormat="1" ht="20.25" customHeight="1" x14ac:dyDescent="0.25">
      <c r="A79" s="132" t="s">
        <v>99</v>
      </c>
      <c r="B79" s="132"/>
      <c r="C79" s="42">
        <v>2600</v>
      </c>
      <c r="D79" s="42" t="s">
        <v>26</v>
      </c>
      <c r="E79" s="42"/>
      <c r="F79" s="41">
        <f>F80+F81+F82+F92+F90</f>
        <v>1537747.93</v>
      </c>
      <c r="G79" s="41">
        <f>G80+G81+G82+G92+G90</f>
        <v>1318554.3700000001</v>
      </c>
      <c r="H79" s="41">
        <f>H80+H81+H82+H92+H90</f>
        <v>1413754.37</v>
      </c>
      <c r="I79" s="41"/>
    </row>
    <row r="80" spans="1:9" s="4" customFormat="1" ht="31.5" customHeight="1" x14ac:dyDescent="0.25">
      <c r="A80" s="132" t="s">
        <v>100</v>
      </c>
      <c r="B80" s="132"/>
      <c r="C80" s="42">
        <v>2610</v>
      </c>
      <c r="D80" s="42">
        <v>241</v>
      </c>
      <c r="E80" s="42"/>
      <c r="F80" s="41"/>
      <c r="G80" s="41"/>
      <c r="H80" s="41"/>
      <c r="I80" s="41"/>
    </row>
    <row r="81" spans="1:9" s="4" customFormat="1" ht="30.75" customHeight="1" x14ac:dyDescent="0.25">
      <c r="A81" s="132" t="s">
        <v>101</v>
      </c>
      <c r="B81" s="132"/>
      <c r="C81" s="42">
        <v>2630</v>
      </c>
      <c r="D81" s="42">
        <v>243</v>
      </c>
      <c r="E81" s="42"/>
      <c r="F81" s="41"/>
      <c r="G81" s="41"/>
      <c r="H81" s="41"/>
      <c r="I81" s="41"/>
    </row>
    <row r="82" spans="1:9" s="4" customFormat="1" ht="18" customHeight="1" x14ac:dyDescent="0.25">
      <c r="A82" s="132" t="s">
        <v>102</v>
      </c>
      <c r="B82" s="132"/>
      <c r="C82" s="42">
        <v>2640</v>
      </c>
      <c r="D82" s="42">
        <v>244</v>
      </c>
      <c r="E82" s="42"/>
      <c r="F82" s="41">
        <f>F84+F85+F86+F87+F88+F89</f>
        <v>1227339.99</v>
      </c>
      <c r="G82" s="41">
        <f>G84+G85+G86+G87+G88+G89</f>
        <v>1198554.3700000001</v>
      </c>
      <c r="H82" s="41">
        <f>H84+H85+H86+H87+H88+H89</f>
        <v>1293754.3700000001</v>
      </c>
      <c r="I82" s="41"/>
    </row>
    <row r="83" spans="1:9" s="4" customFormat="1" ht="15.75" customHeight="1" x14ac:dyDescent="0.25">
      <c r="A83" s="139" t="s">
        <v>103</v>
      </c>
      <c r="B83" s="140"/>
      <c r="C83" s="42"/>
      <c r="D83" s="43"/>
      <c r="E83" s="42"/>
      <c r="F83" s="41"/>
      <c r="G83" s="41"/>
      <c r="H83" s="41"/>
      <c r="I83" s="41"/>
    </row>
    <row r="84" spans="1:9" s="4" customFormat="1" ht="15.75" customHeight="1" x14ac:dyDescent="0.25">
      <c r="A84" s="135" t="s">
        <v>104</v>
      </c>
      <c r="B84" s="135"/>
      <c r="C84" s="42">
        <v>2641</v>
      </c>
      <c r="D84" s="43" t="s">
        <v>105</v>
      </c>
      <c r="E84" s="42"/>
      <c r="F84" s="91">
        <v>6899.76</v>
      </c>
      <c r="G84" s="91">
        <v>15000</v>
      </c>
      <c r="H84" s="91">
        <v>15000</v>
      </c>
      <c r="I84" s="41"/>
    </row>
    <row r="85" spans="1:9" s="4" customFormat="1" ht="16.5" customHeight="1" x14ac:dyDescent="0.25">
      <c r="A85" s="135" t="s">
        <v>106</v>
      </c>
      <c r="B85" s="135"/>
      <c r="C85" s="42">
        <v>2642</v>
      </c>
      <c r="D85" s="43" t="s">
        <v>105</v>
      </c>
      <c r="E85" s="42"/>
      <c r="F85" s="91">
        <f>45418.8</f>
        <v>45418.8</v>
      </c>
      <c r="G85" s="91">
        <v>33762.379999999997</v>
      </c>
      <c r="H85" s="91">
        <v>33762.379999999997</v>
      </c>
      <c r="I85" s="41"/>
    </row>
    <row r="86" spans="1:9" s="4" customFormat="1" ht="19.5" customHeight="1" x14ac:dyDescent="0.25">
      <c r="A86" s="136" t="s">
        <v>107</v>
      </c>
      <c r="B86" s="137"/>
      <c r="C86" s="44">
        <v>2643</v>
      </c>
      <c r="D86" s="43" t="s">
        <v>105</v>
      </c>
      <c r="E86" s="42"/>
      <c r="F86" s="91">
        <f>1000+10156.2+14448+51995.18+70700</f>
        <v>148299.38</v>
      </c>
      <c r="G86" s="91">
        <f>67985.59+70700</f>
        <v>138685.59</v>
      </c>
      <c r="H86" s="91">
        <f>67985.59+70700</f>
        <v>138685.59</v>
      </c>
      <c r="I86" s="41"/>
    </row>
    <row r="87" spans="1:9" s="4" customFormat="1" ht="17.25" customHeight="1" x14ac:dyDescent="0.25">
      <c r="A87" s="135" t="s">
        <v>108</v>
      </c>
      <c r="B87" s="135"/>
      <c r="C87" s="42">
        <v>2644</v>
      </c>
      <c r="D87" s="43" t="s">
        <v>105</v>
      </c>
      <c r="E87" s="42"/>
      <c r="F87" s="91">
        <f>10000+21108.48+89657.77+63523.2+14135.3+500-7433.4+172500</f>
        <v>363991.35</v>
      </c>
      <c r="G87" s="91">
        <f>215008.84+6035.06</f>
        <v>221043.9</v>
      </c>
      <c r="H87" s="91">
        <v>221043.9</v>
      </c>
      <c r="I87" s="41"/>
    </row>
    <row r="88" spans="1:9" s="4" customFormat="1" ht="19.5" customHeight="1" x14ac:dyDescent="0.25">
      <c r="A88" s="138" t="s">
        <v>109</v>
      </c>
      <c r="B88" s="138"/>
      <c r="C88" s="44">
        <v>2645</v>
      </c>
      <c r="D88" s="43" t="s">
        <v>105</v>
      </c>
      <c r="E88" s="42"/>
      <c r="F88" s="91">
        <f>32300+10000+32300</f>
        <v>74600</v>
      </c>
      <c r="G88" s="91">
        <v>161800</v>
      </c>
      <c r="H88" s="91">
        <f>205400+10000</f>
        <v>215400</v>
      </c>
      <c r="I88" s="41"/>
    </row>
    <row r="89" spans="1:9" s="4" customFormat="1" ht="19.5" customHeight="1" x14ac:dyDescent="0.25">
      <c r="A89" s="138" t="s">
        <v>110</v>
      </c>
      <c r="B89" s="138"/>
      <c r="C89" s="44">
        <v>2646</v>
      </c>
      <c r="D89" s="43" t="s">
        <v>105</v>
      </c>
      <c r="E89" s="42"/>
      <c r="F89" s="91">
        <f>309299.35+11900+119169.22+46659.95+8018.13+500+85150.65+7433.4</f>
        <v>588130.69999999995</v>
      </c>
      <c r="G89" s="91">
        <f>170362.5+457900</f>
        <v>628262.5</v>
      </c>
      <c r="H89" s="91">
        <f>170362.5+499500</f>
        <v>669862.5</v>
      </c>
      <c r="I89" s="41"/>
    </row>
    <row r="90" spans="1:9" s="4" customFormat="1" ht="15" customHeight="1" x14ac:dyDescent="0.25">
      <c r="A90" s="135" t="s">
        <v>111</v>
      </c>
      <c r="B90" s="135"/>
      <c r="C90" s="42">
        <v>2650</v>
      </c>
      <c r="D90" s="43" t="s">
        <v>112</v>
      </c>
      <c r="E90" s="42"/>
      <c r="F90" s="41">
        <f>F91</f>
        <v>310407.94</v>
      </c>
      <c r="G90" s="41">
        <f>G91</f>
        <v>120000</v>
      </c>
      <c r="H90" s="41">
        <f>H91</f>
        <v>120000</v>
      </c>
      <c r="I90" s="41"/>
    </row>
    <row r="91" spans="1:9" s="4" customFormat="1" ht="28.5" customHeight="1" x14ac:dyDescent="0.25">
      <c r="A91" s="132" t="s">
        <v>113</v>
      </c>
      <c r="B91" s="132"/>
      <c r="C91" s="42">
        <v>2651</v>
      </c>
      <c r="D91" s="42">
        <v>247</v>
      </c>
      <c r="E91" s="42"/>
      <c r="F91" s="91">
        <f>129429.18+180978.76</f>
        <v>310407.94</v>
      </c>
      <c r="G91" s="91">
        <v>120000</v>
      </c>
      <c r="H91" s="91">
        <v>120000</v>
      </c>
      <c r="I91" s="41">
        <f t="shared" ref="I91" si="6">I92+I93</f>
        <v>0</v>
      </c>
    </row>
    <row r="92" spans="1:9" s="4" customFormat="1" ht="31.5" customHeight="1" x14ac:dyDescent="0.25">
      <c r="A92" s="135" t="s">
        <v>114</v>
      </c>
      <c r="B92" s="135"/>
      <c r="C92" s="42">
        <v>2700</v>
      </c>
      <c r="D92" s="42">
        <v>400</v>
      </c>
      <c r="E92" s="42"/>
      <c r="F92" s="41">
        <f>F93+F94</f>
        <v>0</v>
      </c>
      <c r="G92" s="41">
        <f>G93+G94</f>
        <v>0</v>
      </c>
      <c r="H92" s="41">
        <f>H93+H94</f>
        <v>0</v>
      </c>
      <c r="I92" s="41"/>
    </row>
    <row r="93" spans="1:9" s="4" customFormat="1" ht="44.25" customHeight="1" x14ac:dyDescent="0.25">
      <c r="A93" s="132" t="s">
        <v>115</v>
      </c>
      <c r="B93" s="132"/>
      <c r="C93" s="42">
        <v>2710</v>
      </c>
      <c r="D93" s="42">
        <v>406</v>
      </c>
      <c r="E93" s="42"/>
      <c r="F93" s="41"/>
      <c r="G93" s="41"/>
      <c r="H93" s="41"/>
      <c r="I93" s="41"/>
    </row>
    <row r="94" spans="1:9" s="4" customFormat="1" ht="15" customHeight="1" x14ac:dyDescent="0.25">
      <c r="A94" s="132" t="s">
        <v>116</v>
      </c>
      <c r="B94" s="132"/>
      <c r="C94" s="42">
        <v>2720</v>
      </c>
      <c r="D94" s="42">
        <v>407</v>
      </c>
      <c r="E94" s="42"/>
      <c r="F94" s="41"/>
      <c r="G94" s="41"/>
      <c r="H94" s="41"/>
      <c r="I94" s="45" t="s">
        <v>26</v>
      </c>
    </row>
    <row r="95" spans="1:9" s="4" customFormat="1" ht="20.25" customHeight="1" x14ac:dyDescent="0.25">
      <c r="A95" s="133" t="s">
        <v>117</v>
      </c>
      <c r="B95" s="133"/>
      <c r="C95" s="46">
        <v>3000</v>
      </c>
      <c r="D95" s="46">
        <v>100</v>
      </c>
      <c r="E95" s="42"/>
      <c r="F95" s="45">
        <f>SUM(F96:F98)</f>
        <v>0</v>
      </c>
      <c r="G95" s="45">
        <f t="shared" ref="G95:H95" si="7">SUM(G96:G98)</f>
        <v>0</v>
      </c>
      <c r="H95" s="45">
        <f t="shared" si="7"/>
        <v>0</v>
      </c>
      <c r="I95" s="41" t="s">
        <v>26</v>
      </c>
    </row>
    <row r="96" spans="1:9" s="4" customFormat="1" ht="25.5" customHeight="1" x14ac:dyDescent="0.25">
      <c r="A96" s="132" t="s">
        <v>118</v>
      </c>
      <c r="B96" s="132"/>
      <c r="C96" s="42">
        <v>3010</v>
      </c>
      <c r="D96" s="42"/>
      <c r="E96" s="46"/>
      <c r="F96" s="41"/>
      <c r="G96" s="41"/>
      <c r="H96" s="41"/>
      <c r="I96" s="41" t="s">
        <v>26</v>
      </c>
    </row>
    <row r="97" spans="1:10" x14ac:dyDescent="0.25">
      <c r="A97" s="132" t="s">
        <v>119</v>
      </c>
      <c r="B97" s="132"/>
      <c r="C97" s="42">
        <v>3020</v>
      </c>
      <c r="D97" s="42"/>
      <c r="E97" s="42"/>
      <c r="F97" s="41"/>
      <c r="G97" s="41"/>
      <c r="H97" s="41"/>
      <c r="I97" s="41" t="s">
        <v>26</v>
      </c>
    </row>
    <row r="98" spans="1:10" x14ac:dyDescent="0.25">
      <c r="A98" s="132" t="s">
        <v>120</v>
      </c>
      <c r="B98" s="132"/>
      <c r="C98" s="42">
        <v>3030</v>
      </c>
      <c r="D98" s="42"/>
      <c r="E98" s="42"/>
      <c r="F98" s="41"/>
      <c r="G98" s="41"/>
      <c r="H98" s="41"/>
      <c r="I98" s="45" t="s">
        <v>26</v>
      </c>
    </row>
    <row r="99" spans="1:10" ht="23.25" customHeight="1" x14ac:dyDescent="0.25">
      <c r="A99" s="133" t="s">
        <v>121</v>
      </c>
      <c r="B99" s="133"/>
      <c r="C99" s="46">
        <v>4000</v>
      </c>
      <c r="D99" s="46" t="s">
        <v>26</v>
      </c>
      <c r="E99" s="42"/>
      <c r="F99" s="45">
        <f>F100</f>
        <v>0</v>
      </c>
      <c r="G99" s="45">
        <f t="shared" ref="G99:H99" si="8">G100</f>
        <v>0</v>
      </c>
      <c r="H99" s="45">
        <f t="shared" si="8"/>
        <v>0</v>
      </c>
      <c r="I99" s="41" t="s">
        <v>26</v>
      </c>
    </row>
    <row r="100" spans="1:10" ht="27.75" customHeight="1" x14ac:dyDescent="0.25">
      <c r="A100" s="132" t="s">
        <v>122</v>
      </c>
      <c r="B100" s="132"/>
      <c r="C100" s="42">
        <v>4010</v>
      </c>
      <c r="D100" s="42">
        <v>610</v>
      </c>
      <c r="E100" s="46"/>
      <c r="F100" s="41"/>
      <c r="G100" s="41"/>
      <c r="H100" s="41"/>
      <c r="I100" s="41"/>
    </row>
    <row r="101" spans="1:10" ht="12.75" customHeight="1" x14ac:dyDescent="0.25">
      <c r="A101" s="47"/>
      <c r="B101" s="48"/>
      <c r="C101" s="49"/>
      <c r="D101" s="49"/>
      <c r="E101" s="50"/>
      <c r="F101" s="51"/>
      <c r="G101" s="51"/>
      <c r="H101" s="51"/>
      <c r="I101" s="52"/>
    </row>
    <row r="102" spans="1:10" ht="21.75" customHeight="1" x14ac:dyDescent="0.25">
      <c r="A102" s="134" t="s">
        <v>123</v>
      </c>
      <c r="B102" s="134"/>
      <c r="C102" s="134"/>
      <c r="D102" s="134"/>
      <c r="E102" s="134"/>
      <c r="F102" s="134"/>
      <c r="G102" s="134"/>
      <c r="H102" s="134"/>
      <c r="I102" s="52"/>
    </row>
    <row r="103" spans="1:10" x14ac:dyDescent="0.25">
      <c r="A103" s="53"/>
      <c r="B103" s="52"/>
      <c r="C103" s="54"/>
      <c r="D103" s="54"/>
      <c r="E103" s="54"/>
      <c r="F103" s="54"/>
      <c r="G103" s="55"/>
      <c r="H103" s="54"/>
      <c r="I103" s="56"/>
    </row>
    <row r="104" spans="1:10" ht="14.25" customHeight="1" x14ac:dyDescent="0.25">
      <c r="A104" s="121" t="s">
        <v>124</v>
      </c>
      <c r="B104" s="121" t="s">
        <v>14</v>
      </c>
      <c r="C104" s="121" t="s">
        <v>125</v>
      </c>
      <c r="D104" s="121" t="s">
        <v>126</v>
      </c>
      <c r="E104" s="124" t="s">
        <v>16</v>
      </c>
      <c r="F104" s="127" t="s">
        <v>18</v>
      </c>
      <c r="G104" s="128"/>
      <c r="H104" s="128"/>
      <c r="I104" s="129"/>
    </row>
    <row r="105" spans="1:10" ht="22.5" customHeight="1" x14ac:dyDescent="0.25">
      <c r="A105" s="122"/>
      <c r="B105" s="122"/>
      <c r="C105" s="122"/>
      <c r="D105" s="122"/>
      <c r="E105" s="125"/>
      <c r="F105" s="121" t="s">
        <v>19</v>
      </c>
      <c r="G105" s="83" t="s">
        <v>179</v>
      </c>
      <c r="H105" s="83" t="s">
        <v>193</v>
      </c>
      <c r="I105" s="130" t="s">
        <v>20</v>
      </c>
    </row>
    <row r="106" spans="1:10" ht="44.25" customHeight="1" x14ac:dyDescent="0.25">
      <c r="A106" s="123"/>
      <c r="B106" s="123"/>
      <c r="C106" s="123"/>
      <c r="D106" s="123"/>
      <c r="E106" s="126"/>
      <c r="F106" s="123"/>
      <c r="G106" s="83" t="s">
        <v>22</v>
      </c>
      <c r="H106" s="83" t="s">
        <v>23</v>
      </c>
      <c r="I106" s="131"/>
    </row>
    <row r="107" spans="1:10" x14ac:dyDescent="0.25">
      <c r="A107" s="57">
        <v>1</v>
      </c>
      <c r="B107" s="83">
        <v>2</v>
      </c>
      <c r="C107" s="83">
        <v>3</v>
      </c>
      <c r="D107" s="83">
        <v>4</v>
      </c>
      <c r="E107" s="32" t="s">
        <v>127</v>
      </c>
      <c r="F107" s="83">
        <v>5</v>
      </c>
      <c r="G107" s="83">
        <v>6</v>
      </c>
      <c r="H107" s="83">
        <v>7</v>
      </c>
      <c r="I107" s="58">
        <v>8</v>
      </c>
    </row>
    <row r="108" spans="1:10" ht="22.5" customHeight="1" x14ac:dyDescent="0.25">
      <c r="A108" s="57">
        <v>1</v>
      </c>
      <c r="B108" s="59" t="s">
        <v>128</v>
      </c>
      <c r="C108" s="60">
        <v>26000</v>
      </c>
      <c r="D108" s="60" t="s">
        <v>26</v>
      </c>
      <c r="E108" s="61" t="s">
        <v>26</v>
      </c>
      <c r="F108" s="62">
        <f>F109+F110+F111+F115</f>
        <v>1537747.93</v>
      </c>
      <c r="G108" s="62">
        <f>G109+G110+G111+G115</f>
        <v>1318554.3700000001</v>
      </c>
      <c r="H108" s="62">
        <f t="shared" ref="H108" si="9">H109+H110+H111+H115</f>
        <v>1413754.37</v>
      </c>
      <c r="I108" s="39"/>
    </row>
    <row r="109" spans="1:10" ht="183.75" customHeight="1" x14ac:dyDescent="0.25">
      <c r="A109" s="63" t="s">
        <v>129</v>
      </c>
      <c r="B109" s="64" t="s">
        <v>182</v>
      </c>
      <c r="C109" s="65">
        <v>26100</v>
      </c>
      <c r="D109" s="40" t="s">
        <v>26</v>
      </c>
      <c r="E109" s="22" t="s">
        <v>26</v>
      </c>
      <c r="F109" s="90">
        <v>500</v>
      </c>
      <c r="G109" s="39"/>
      <c r="H109" s="39"/>
      <c r="I109" s="39"/>
    </row>
    <row r="110" spans="1:10" ht="43.5" customHeight="1" x14ac:dyDescent="0.25">
      <c r="A110" s="63" t="s">
        <v>130</v>
      </c>
      <c r="B110" s="64" t="s">
        <v>131</v>
      </c>
      <c r="C110" s="65">
        <v>26200</v>
      </c>
      <c r="D110" s="40" t="s">
        <v>26</v>
      </c>
      <c r="E110" s="22" t="s">
        <v>26</v>
      </c>
      <c r="F110" s="39"/>
      <c r="G110" s="39"/>
      <c r="H110" s="39"/>
      <c r="I110" s="39"/>
    </row>
    <row r="111" spans="1:10" ht="46.5" customHeight="1" x14ac:dyDescent="0.25">
      <c r="A111" s="63" t="s">
        <v>132</v>
      </c>
      <c r="B111" s="64" t="s">
        <v>133</v>
      </c>
      <c r="C111" s="65">
        <v>26300</v>
      </c>
      <c r="D111" s="40" t="s">
        <v>26</v>
      </c>
      <c r="E111" s="22" t="s">
        <v>26</v>
      </c>
      <c r="F111" s="90">
        <f>45418.8+10156.2+14448+51995.18+21108.48+63523.2+85150.65+129429.18+6899.76+46659.95+500+180978.76</f>
        <v>656268.16</v>
      </c>
      <c r="G111" s="39">
        <v>0</v>
      </c>
      <c r="H111" s="39">
        <v>0</v>
      </c>
      <c r="I111" s="39"/>
      <c r="J111" s="2">
        <v>130</v>
      </c>
    </row>
    <row r="112" spans="1:10" ht="17.25" customHeight="1" x14ac:dyDescent="0.25">
      <c r="A112" s="66" t="s">
        <v>134</v>
      </c>
      <c r="B112" s="64" t="s">
        <v>135</v>
      </c>
      <c r="C112" s="65">
        <v>26310</v>
      </c>
      <c r="D112" s="40" t="s">
        <v>26</v>
      </c>
      <c r="E112" s="22" t="s">
        <v>26</v>
      </c>
      <c r="F112" s="39">
        <f>F111</f>
        <v>656268.16</v>
      </c>
      <c r="G112" s="39"/>
      <c r="H112" s="39"/>
      <c r="I112" s="39"/>
    </row>
    <row r="113" spans="1:13" ht="16.5" customHeight="1" x14ac:dyDescent="0.25">
      <c r="A113" s="66"/>
      <c r="B113" s="64" t="s">
        <v>136</v>
      </c>
      <c r="C113" s="65" t="s">
        <v>137</v>
      </c>
      <c r="D113" s="40" t="s">
        <v>26</v>
      </c>
      <c r="E113" s="22">
        <v>150</v>
      </c>
      <c r="F113" s="39"/>
      <c r="G113" s="39"/>
      <c r="H113" s="39"/>
      <c r="I113" s="39"/>
    </row>
    <row r="114" spans="1:13" ht="20.25" customHeight="1" x14ac:dyDescent="0.25">
      <c r="A114" s="66" t="s">
        <v>138</v>
      </c>
      <c r="B114" s="64" t="s">
        <v>139</v>
      </c>
      <c r="C114" s="65">
        <v>26320</v>
      </c>
      <c r="D114" s="40" t="s">
        <v>26</v>
      </c>
      <c r="E114" s="22" t="s">
        <v>26</v>
      </c>
      <c r="F114" s="39"/>
      <c r="G114" s="39"/>
      <c r="H114" s="39"/>
      <c r="I114" s="39"/>
      <c r="L114" s="12" t="s">
        <v>191</v>
      </c>
      <c r="M114" s="13"/>
    </row>
    <row r="115" spans="1:13" ht="45" customHeight="1" x14ac:dyDescent="0.25">
      <c r="A115" s="63" t="s">
        <v>140</v>
      </c>
      <c r="B115" s="64" t="s">
        <v>141</v>
      </c>
      <c r="C115" s="65">
        <v>26400</v>
      </c>
      <c r="D115" s="40" t="s">
        <v>26</v>
      </c>
      <c r="E115" s="22" t="s">
        <v>26</v>
      </c>
      <c r="F115" s="92">
        <f>F116+F119+F123+F125+F128</f>
        <v>880979.7699999999</v>
      </c>
      <c r="G115" s="92">
        <f>G116+G119+G123+G125+G128</f>
        <v>1318554.3700000001</v>
      </c>
      <c r="H115" s="92">
        <f>H116+H119+H123+H125+H128</f>
        <v>1413754.37</v>
      </c>
      <c r="I115" s="39"/>
      <c r="J115" s="6" t="s">
        <v>188</v>
      </c>
      <c r="L115" s="8">
        <v>111</v>
      </c>
      <c r="M115" s="11">
        <f>7433.4+7946.7</f>
        <v>15380.099999999999</v>
      </c>
    </row>
    <row r="116" spans="1:13" ht="44.25" customHeight="1" x14ac:dyDescent="0.25">
      <c r="A116" s="66" t="s">
        <v>142</v>
      </c>
      <c r="B116" s="64" t="s">
        <v>143</v>
      </c>
      <c r="C116" s="65">
        <v>26410</v>
      </c>
      <c r="D116" s="40" t="s">
        <v>26</v>
      </c>
      <c r="E116" s="22" t="s">
        <v>26</v>
      </c>
      <c r="F116" s="39">
        <f>F117+F118</f>
        <v>618492.41999999993</v>
      </c>
      <c r="G116" s="39">
        <f>G117+G118</f>
        <v>925691.87000000011</v>
      </c>
      <c r="H116" s="39">
        <f t="shared" ref="H116" si="10">H117+H118</f>
        <v>967291.87000000011</v>
      </c>
      <c r="I116" s="39"/>
      <c r="L116" s="8">
        <v>112</v>
      </c>
      <c r="M116" s="11">
        <f>1000+10000+89657.77+309299.35+11900+119169.22+8018.13-7946.7+172500</f>
        <v>713597.77</v>
      </c>
    </row>
    <row r="117" spans="1:13" ht="29.25" customHeight="1" x14ac:dyDescent="0.25">
      <c r="A117" s="66" t="s">
        <v>144</v>
      </c>
      <c r="B117" s="64" t="s">
        <v>145</v>
      </c>
      <c r="C117" s="65">
        <v>26411</v>
      </c>
      <c r="D117" s="40" t="s">
        <v>26</v>
      </c>
      <c r="E117" s="22" t="s">
        <v>26</v>
      </c>
      <c r="F117" s="39">
        <f>F79-F111-F119-F128-F109</f>
        <v>618492.41999999993</v>
      </c>
      <c r="G117" s="39">
        <f>G79-G111-G119-G128</f>
        <v>925691.87000000011</v>
      </c>
      <c r="H117" s="39">
        <f>H79-H111-H119-H128</f>
        <v>967291.87000000011</v>
      </c>
      <c r="I117" s="39"/>
      <c r="L117" s="8">
        <v>113</v>
      </c>
      <c r="M117" s="11">
        <f>14135.3+32300+10000+70700-7433.4+32300</f>
        <v>152001.90000000002</v>
      </c>
    </row>
    <row r="118" spans="1:13" ht="22.5" customHeight="1" x14ac:dyDescent="0.25">
      <c r="A118" s="66" t="s">
        <v>146</v>
      </c>
      <c r="B118" s="64" t="s">
        <v>147</v>
      </c>
      <c r="C118" s="40">
        <v>26412</v>
      </c>
      <c r="D118" s="40" t="s">
        <v>26</v>
      </c>
      <c r="E118" s="22" t="s">
        <v>26</v>
      </c>
      <c r="F118" s="39"/>
      <c r="G118" s="39"/>
      <c r="H118" s="39"/>
      <c r="I118" s="39"/>
      <c r="L118" s="9">
        <v>110</v>
      </c>
      <c r="M118" s="16">
        <f>M116+M117+M115</f>
        <v>880979.77</v>
      </c>
    </row>
    <row r="119" spans="1:13" ht="45.75" customHeight="1" x14ac:dyDescent="0.25">
      <c r="A119" s="66" t="s">
        <v>148</v>
      </c>
      <c r="B119" s="64" t="s">
        <v>149</v>
      </c>
      <c r="C119" s="65">
        <v>26420</v>
      </c>
      <c r="D119" s="40" t="s">
        <v>26</v>
      </c>
      <c r="E119" s="22" t="s">
        <v>26</v>
      </c>
      <c r="F119" s="39">
        <f>F120+F122</f>
        <v>135300</v>
      </c>
      <c r="G119" s="39">
        <f>G120+G122</f>
        <v>222500</v>
      </c>
      <c r="H119" s="39">
        <f t="shared" ref="H119" si="11">H120+H122</f>
        <v>276100</v>
      </c>
      <c r="I119" s="39"/>
      <c r="L119" s="8">
        <v>130</v>
      </c>
      <c r="M119" s="14">
        <f>F111</f>
        <v>656268.16</v>
      </c>
    </row>
    <row r="120" spans="1:13" ht="27.75" customHeight="1" x14ac:dyDescent="0.25">
      <c r="A120" s="66" t="s">
        <v>150</v>
      </c>
      <c r="B120" s="64" t="s">
        <v>145</v>
      </c>
      <c r="C120" s="65">
        <v>26421</v>
      </c>
      <c r="D120" s="40" t="s">
        <v>26</v>
      </c>
      <c r="E120" s="22" t="s">
        <v>26</v>
      </c>
      <c r="F120" s="39">
        <f>F35-F37-F38-F36</f>
        <v>135300</v>
      </c>
      <c r="G120" s="39">
        <f>G35-G37-G38-G36</f>
        <v>222500</v>
      </c>
      <c r="H120" s="39">
        <f>H35-H37-H38-H36</f>
        <v>276100</v>
      </c>
      <c r="I120" s="39"/>
      <c r="L120" s="8" t="s">
        <v>189</v>
      </c>
      <c r="M120" s="17">
        <f>M118+M119+F109</f>
        <v>1537747.9300000002</v>
      </c>
    </row>
    <row r="121" spans="1:13" x14ac:dyDescent="0.25">
      <c r="A121" s="66"/>
      <c r="B121" s="64" t="s">
        <v>136</v>
      </c>
      <c r="C121" s="65" t="s">
        <v>151</v>
      </c>
      <c r="D121" s="40" t="s">
        <v>26</v>
      </c>
      <c r="E121" s="22">
        <v>150</v>
      </c>
      <c r="F121" s="39">
        <f>F120</f>
        <v>135300</v>
      </c>
      <c r="G121" s="39">
        <f>G120</f>
        <v>222500</v>
      </c>
      <c r="H121" s="39">
        <f>H120</f>
        <v>276100</v>
      </c>
      <c r="I121" s="39"/>
      <c r="L121" s="10" t="s">
        <v>190</v>
      </c>
      <c r="M121" s="15">
        <f>M118-F115</f>
        <v>0</v>
      </c>
    </row>
    <row r="122" spans="1:13" ht="18" customHeight="1" x14ac:dyDescent="0.25">
      <c r="A122" s="67" t="s">
        <v>152</v>
      </c>
      <c r="B122" s="64" t="s">
        <v>147</v>
      </c>
      <c r="C122" s="65">
        <v>26422</v>
      </c>
      <c r="D122" s="40" t="s">
        <v>26</v>
      </c>
      <c r="E122" s="22" t="s">
        <v>26</v>
      </c>
      <c r="F122" s="39"/>
      <c r="G122" s="39"/>
      <c r="H122" s="39"/>
      <c r="I122" s="39"/>
    </row>
    <row r="123" spans="1:13" ht="28.5" customHeight="1" x14ac:dyDescent="0.25">
      <c r="A123" s="66" t="s">
        <v>153</v>
      </c>
      <c r="B123" s="64" t="s">
        <v>154</v>
      </c>
      <c r="C123" s="65">
        <v>26430</v>
      </c>
      <c r="D123" s="40" t="s">
        <v>26</v>
      </c>
      <c r="E123" s="22" t="s">
        <v>26</v>
      </c>
      <c r="F123" s="39"/>
      <c r="G123" s="39"/>
      <c r="H123" s="39"/>
      <c r="I123" s="39"/>
      <c r="M123" s="2">
        <v>1537747.93</v>
      </c>
    </row>
    <row r="124" spans="1:13" ht="16.5" customHeight="1" x14ac:dyDescent="0.25">
      <c r="A124" s="66"/>
      <c r="B124" s="64" t="s">
        <v>136</v>
      </c>
      <c r="C124" s="65" t="s">
        <v>155</v>
      </c>
      <c r="D124" s="40" t="s">
        <v>26</v>
      </c>
      <c r="E124" s="22">
        <v>150</v>
      </c>
      <c r="F124" s="39"/>
      <c r="G124" s="39"/>
      <c r="H124" s="39"/>
      <c r="I124" s="39">
        <f t="shared" ref="G124:I125" si="12">I125+I126</f>
        <v>0</v>
      </c>
    </row>
    <row r="125" spans="1:13" ht="16.5" customHeight="1" x14ac:dyDescent="0.25">
      <c r="A125" s="66" t="s">
        <v>156</v>
      </c>
      <c r="B125" s="64" t="s">
        <v>157</v>
      </c>
      <c r="C125" s="65">
        <v>26440</v>
      </c>
      <c r="D125" s="40" t="s">
        <v>26</v>
      </c>
      <c r="E125" s="22" t="s">
        <v>26</v>
      </c>
      <c r="F125" s="39">
        <f>F126+F127</f>
        <v>0</v>
      </c>
      <c r="G125" s="39">
        <f t="shared" si="12"/>
        <v>0</v>
      </c>
      <c r="H125" s="39">
        <f t="shared" si="12"/>
        <v>0</v>
      </c>
      <c r="I125" s="39"/>
    </row>
    <row r="126" spans="1:13" ht="29.25" customHeight="1" x14ac:dyDescent="0.25">
      <c r="A126" s="66" t="s">
        <v>158</v>
      </c>
      <c r="B126" s="64" t="s">
        <v>145</v>
      </c>
      <c r="C126" s="65">
        <v>26441</v>
      </c>
      <c r="D126" s="40" t="s">
        <v>26</v>
      </c>
      <c r="E126" s="22" t="s">
        <v>26</v>
      </c>
      <c r="F126" s="39"/>
      <c r="G126" s="39"/>
      <c r="H126" s="39"/>
      <c r="I126" s="39"/>
    </row>
    <row r="127" spans="1:13" ht="18.75" customHeight="1" x14ac:dyDescent="0.25">
      <c r="A127" s="67" t="s">
        <v>159</v>
      </c>
      <c r="B127" s="64" t="s">
        <v>147</v>
      </c>
      <c r="C127" s="65">
        <v>26442</v>
      </c>
      <c r="D127" s="40" t="s">
        <v>26</v>
      </c>
      <c r="E127" s="22" t="s">
        <v>26</v>
      </c>
      <c r="F127" s="39"/>
      <c r="G127" s="39"/>
      <c r="H127" s="39"/>
      <c r="I127" s="39">
        <f t="shared" ref="G127:I128" si="13">I128+I130</f>
        <v>0</v>
      </c>
    </row>
    <row r="128" spans="1:13" ht="18.75" customHeight="1" x14ac:dyDescent="0.25">
      <c r="A128" s="67" t="s">
        <v>160</v>
      </c>
      <c r="B128" s="64" t="s">
        <v>161</v>
      </c>
      <c r="C128" s="65">
        <v>26450</v>
      </c>
      <c r="D128" s="40" t="s">
        <v>26</v>
      </c>
      <c r="E128" s="22" t="s">
        <v>26</v>
      </c>
      <c r="F128" s="39">
        <f>F129+F131</f>
        <v>127187.35</v>
      </c>
      <c r="G128" s="39">
        <f t="shared" si="13"/>
        <v>170362.5</v>
      </c>
      <c r="H128" s="39">
        <f t="shared" si="13"/>
        <v>170362.5</v>
      </c>
      <c r="I128" s="39"/>
    </row>
    <row r="129" spans="1:10" ht="25.5" customHeight="1" x14ac:dyDescent="0.25">
      <c r="A129" s="67" t="s">
        <v>162</v>
      </c>
      <c r="B129" s="64" t="s">
        <v>145</v>
      </c>
      <c r="C129" s="65">
        <v>26451</v>
      </c>
      <c r="D129" s="40" t="s">
        <v>26</v>
      </c>
      <c r="E129" s="22" t="s">
        <v>26</v>
      </c>
      <c r="F129" s="90">
        <f>119169.22+8018.13</f>
        <v>127187.35</v>
      </c>
      <c r="G129" s="90">
        <v>170362.5</v>
      </c>
      <c r="H129" s="90">
        <v>170362.5</v>
      </c>
      <c r="I129" s="39"/>
    </row>
    <row r="130" spans="1:10" ht="13.5" customHeight="1" x14ac:dyDescent="0.25">
      <c r="A130" s="67"/>
      <c r="B130" s="64" t="s">
        <v>136</v>
      </c>
      <c r="C130" s="65" t="s">
        <v>163</v>
      </c>
      <c r="D130" s="40" t="s">
        <v>26</v>
      </c>
      <c r="E130" s="22">
        <v>150</v>
      </c>
      <c r="F130" s="39"/>
      <c r="G130" s="39"/>
      <c r="H130" s="39"/>
      <c r="I130" s="39"/>
    </row>
    <row r="131" spans="1:10" ht="16.5" customHeight="1" x14ac:dyDescent="0.25">
      <c r="A131" s="67" t="s">
        <v>164</v>
      </c>
      <c r="B131" s="64" t="s">
        <v>147</v>
      </c>
      <c r="C131" s="65">
        <v>26452</v>
      </c>
      <c r="D131" s="40" t="s">
        <v>26</v>
      </c>
      <c r="E131" s="22" t="s">
        <v>26</v>
      </c>
      <c r="F131" s="39"/>
      <c r="G131" s="39"/>
      <c r="H131" s="39"/>
      <c r="I131" s="39">
        <f>I132</f>
        <v>0</v>
      </c>
    </row>
    <row r="132" spans="1:10" ht="44.25" customHeight="1" x14ac:dyDescent="0.25">
      <c r="A132" s="67" t="s">
        <v>165</v>
      </c>
      <c r="B132" s="64" t="s">
        <v>166</v>
      </c>
      <c r="C132" s="65">
        <v>26500</v>
      </c>
      <c r="D132" s="40" t="s">
        <v>26</v>
      </c>
      <c r="E132" s="22" t="s">
        <v>26</v>
      </c>
      <c r="F132" s="39">
        <f>F134+F135+F136</f>
        <v>880979.7699999999</v>
      </c>
      <c r="G132" s="39">
        <f>G134+G135+G136</f>
        <v>1318554.3700000001</v>
      </c>
      <c r="H132" s="39">
        <f>H134+H135+H136</f>
        <v>1413754.37</v>
      </c>
      <c r="I132" s="39"/>
    </row>
    <row r="133" spans="1:10" ht="19.5" customHeight="1" x14ac:dyDescent="0.25">
      <c r="A133" s="67"/>
      <c r="B133" s="64" t="s">
        <v>167</v>
      </c>
      <c r="C133" s="65">
        <v>26510</v>
      </c>
      <c r="D133" s="40" t="s">
        <v>26</v>
      </c>
      <c r="E133" s="22" t="s">
        <v>26</v>
      </c>
      <c r="F133" s="39"/>
      <c r="G133" s="39"/>
      <c r="H133" s="39"/>
      <c r="I133" s="39"/>
    </row>
    <row r="134" spans="1:10" ht="17.25" customHeight="1" x14ac:dyDescent="0.25">
      <c r="A134" s="67" t="s">
        <v>168</v>
      </c>
      <c r="B134" s="64" t="s">
        <v>169</v>
      </c>
      <c r="C134" s="65">
        <v>26520</v>
      </c>
      <c r="D134" s="40">
        <v>2023</v>
      </c>
      <c r="E134" s="22"/>
      <c r="F134" s="39">
        <f>F115</f>
        <v>880979.7699999999</v>
      </c>
      <c r="G134" s="39"/>
      <c r="H134" s="39"/>
      <c r="I134" s="39"/>
    </row>
    <row r="135" spans="1:10" ht="14.25" customHeight="1" x14ac:dyDescent="0.25">
      <c r="A135" s="67" t="s">
        <v>170</v>
      </c>
      <c r="B135" s="64" t="s">
        <v>169</v>
      </c>
      <c r="C135" s="65">
        <v>26530</v>
      </c>
      <c r="D135" s="40">
        <v>2024</v>
      </c>
      <c r="E135" s="22"/>
      <c r="F135" s="39"/>
      <c r="G135" s="39">
        <f>G115-G134-G136</f>
        <v>1318554.3700000001</v>
      </c>
      <c r="H135" s="39"/>
      <c r="I135" s="39"/>
    </row>
    <row r="136" spans="1:10" ht="15" customHeight="1" x14ac:dyDescent="0.25">
      <c r="A136" s="67" t="s">
        <v>171</v>
      </c>
      <c r="B136" s="64" t="s">
        <v>169</v>
      </c>
      <c r="C136" s="65">
        <v>26540</v>
      </c>
      <c r="D136" s="40">
        <v>2025</v>
      </c>
      <c r="E136" s="22"/>
      <c r="F136" s="39"/>
      <c r="G136" s="39"/>
      <c r="H136" s="39">
        <f>H115</f>
        <v>1413754.37</v>
      </c>
      <c r="I136" s="39">
        <f>I137+I138</f>
        <v>0</v>
      </c>
    </row>
    <row r="137" spans="1:10" ht="44.25" customHeight="1" x14ac:dyDescent="0.25">
      <c r="A137" s="67" t="s">
        <v>172</v>
      </c>
      <c r="B137" s="64" t="s">
        <v>173</v>
      </c>
      <c r="C137" s="65">
        <v>26600</v>
      </c>
      <c r="D137" s="40" t="s">
        <v>26</v>
      </c>
      <c r="E137" s="22" t="s">
        <v>26</v>
      </c>
      <c r="F137" s="39">
        <f>F138+F139</f>
        <v>0</v>
      </c>
      <c r="G137" s="39">
        <f>G138+G139</f>
        <v>0</v>
      </c>
      <c r="H137" s="39">
        <f>H138+H139</f>
        <v>0</v>
      </c>
      <c r="I137" s="39"/>
    </row>
    <row r="138" spans="1:10" x14ac:dyDescent="0.25">
      <c r="A138" s="67"/>
      <c r="B138" s="64" t="s">
        <v>167</v>
      </c>
      <c r="C138" s="65">
        <v>26610</v>
      </c>
      <c r="D138" s="40"/>
      <c r="E138" s="22"/>
      <c r="F138" s="39"/>
      <c r="G138" s="39"/>
      <c r="H138" s="39"/>
      <c r="I138" s="39"/>
    </row>
    <row r="139" spans="1:10" x14ac:dyDescent="0.25">
      <c r="A139" s="67"/>
      <c r="B139" s="64"/>
      <c r="C139" s="40"/>
      <c r="D139" s="40"/>
      <c r="E139" s="22"/>
      <c r="F139" s="39"/>
      <c r="G139" s="39"/>
      <c r="H139" s="39"/>
      <c r="I139" s="68"/>
    </row>
    <row r="140" spans="1:10" x14ac:dyDescent="0.25">
      <c r="A140" s="69"/>
      <c r="B140" s="70"/>
      <c r="C140" s="71"/>
      <c r="D140" s="71"/>
      <c r="E140" s="71"/>
      <c r="F140" s="71"/>
      <c r="G140" s="71"/>
      <c r="H140" s="71"/>
      <c r="I140" s="19"/>
    </row>
    <row r="141" spans="1:10" ht="18.75" x14ac:dyDescent="0.3">
      <c r="A141" s="72" t="s">
        <v>185</v>
      </c>
      <c r="B141" s="73"/>
      <c r="C141" s="73"/>
      <c r="D141" s="74"/>
      <c r="E141" s="21"/>
      <c r="F141" s="75" t="s">
        <v>186</v>
      </c>
      <c r="G141" s="75"/>
      <c r="H141" s="19"/>
      <c r="I141" s="19"/>
    </row>
    <row r="142" spans="1:10" ht="18.75" x14ac:dyDescent="0.25">
      <c r="A142" s="76"/>
      <c r="B142" s="76"/>
      <c r="C142" s="76"/>
      <c r="D142" s="77" t="s">
        <v>174</v>
      </c>
      <c r="E142" s="19"/>
      <c r="F142" s="78" t="s">
        <v>175</v>
      </c>
      <c r="G142" s="79"/>
      <c r="H142" s="19"/>
      <c r="I142" s="19"/>
      <c r="J142"/>
    </row>
    <row r="143" spans="1:10" ht="18.75" x14ac:dyDescent="0.3">
      <c r="A143" s="72"/>
      <c r="B143" s="73"/>
      <c r="C143" s="73"/>
      <c r="D143" s="74"/>
      <c r="E143" s="21"/>
      <c r="F143" s="75" t="s">
        <v>176</v>
      </c>
      <c r="G143" s="75"/>
      <c r="H143" s="19"/>
      <c r="I143" s="19"/>
      <c r="J143"/>
    </row>
    <row r="144" spans="1:10" ht="18.75" x14ac:dyDescent="0.25">
      <c r="A144" s="76" t="s">
        <v>177</v>
      </c>
      <c r="B144" s="76"/>
      <c r="C144" s="76"/>
      <c r="D144" s="77" t="s">
        <v>174</v>
      </c>
      <c r="E144" s="19"/>
      <c r="F144" s="78" t="s">
        <v>175</v>
      </c>
      <c r="G144" s="79"/>
      <c r="H144" s="19"/>
      <c r="I144" s="19"/>
      <c r="J144"/>
    </row>
    <row r="145" spans="1:10" ht="18.75" x14ac:dyDescent="0.25">
      <c r="A145" s="76"/>
      <c r="B145" s="76"/>
      <c r="C145" s="76"/>
      <c r="D145" s="77"/>
      <c r="E145" s="19"/>
      <c r="F145" s="78"/>
      <c r="G145" s="78"/>
      <c r="H145" s="19"/>
      <c r="I145" s="19"/>
      <c r="J145"/>
    </row>
    <row r="146" spans="1:10" ht="17.25" customHeight="1" x14ac:dyDescent="0.3">
      <c r="A146" s="80" t="s">
        <v>187</v>
      </c>
      <c r="B146" s="80"/>
      <c r="C146" s="80"/>
      <c r="D146" s="80"/>
      <c r="E146" s="81"/>
      <c r="F146" s="81"/>
      <c r="G146" s="73"/>
      <c r="H146" s="73"/>
      <c r="I146" s="73"/>
    </row>
    <row r="147" spans="1:10" ht="18.75" hidden="1" x14ac:dyDescent="0.3">
      <c r="A147" s="120" t="s">
        <v>178</v>
      </c>
      <c r="B147" s="120"/>
      <c r="C147" s="120"/>
      <c r="D147" s="120"/>
      <c r="E147" s="120"/>
      <c r="F147" s="7"/>
      <c r="G147" s="7"/>
      <c r="H147" s="7"/>
      <c r="I147" s="5"/>
    </row>
    <row r="148" spans="1:10" hidden="1" x14ac:dyDescent="0.25">
      <c r="C148" s="5"/>
      <c r="D148" s="5"/>
      <c r="E148" s="5"/>
      <c r="F148" s="5"/>
      <c r="G148" s="5"/>
      <c r="H148" s="5"/>
      <c r="I148" s="5"/>
    </row>
    <row r="149" spans="1:10" hidden="1" x14ac:dyDescent="0.25">
      <c r="C149" s="5"/>
      <c r="D149" s="5"/>
      <c r="E149" s="5"/>
      <c r="F149" s="5"/>
      <c r="G149" s="5"/>
      <c r="H149" s="5"/>
      <c r="I149" s="5"/>
    </row>
    <row r="150" spans="1:10" hidden="1" x14ac:dyDescent="0.25">
      <c r="C150" s="5"/>
      <c r="D150" s="5"/>
      <c r="E150" s="5"/>
      <c r="F150" s="5"/>
      <c r="G150" s="5"/>
      <c r="H150" s="5"/>
      <c r="I150" s="5"/>
    </row>
    <row r="151" spans="1:10" hidden="1" x14ac:dyDescent="0.25">
      <c r="C151" s="5"/>
      <c r="D151" s="5"/>
      <c r="E151" s="5"/>
      <c r="F151" s="5"/>
      <c r="G151" s="5"/>
      <c r="H151" s="5"/>
      <c r="I151" s="5"/>
    </row>
    <row r="152" spans="1:10" hidden="1" x14ac:dyDescent="0.25">
      <c r="C152" s="5"/>
      <c r="D152" s="5"/>
      <c r="E152" s="5"/>
      <c r="F152" s="5"/>
      <c r="G152" s="5"/>
      <c r="H152" s="5"/>
      <c r="I152" s="5"/>
    </row>
    <row r="153" spans="1:10" hidden="1" x14ac:dyDescent="0.25">
      <c r="C153" s="5"/>
      <c r="D153" s="5"/>
      <c r="E153" s="5"/>
      <c r="F153" s="5"/>
      <c r="G153" s="5"/>
      <c r="H153" s="5"/>
      <c r="I153" s="5"/>
    </row>
    <row r="154" spans="1:10" hidden="1" x14ac:dyDescent="0.25">
      <c r="C154" s="5"/>
      <c r="D154" s="5"/>
      <c r="E154" s="5"/>
      <c r="F154" s="5"/>
      <c r="G154" s="5"/>
      <c r="H154" s="5"/>
      <c r="I154" s="5"/>
    </row>
    <row r="155" spans="1:10" hidden="1" x14ac:dyDescent="0.25">
      <c r="C155" s="5"/>
      <c r="D155" s="5"/>
      <c r="E155" s="5"/>
      <c r="F155" s="5"/>
      <c r="G155" s="5"/>
      <c r="H155" s="5"/>
      <c r="I155" s="5"/>
    </row>
    <row r="156" spans="1:10" hidden="1" x14ac:dyDescent="0.25">
      <c r="C156" s="5"/>
      <c r="D156" s="5"/>
      <c r="E156" s="5"/>
      <c r="F156" s="5"/>
      <c r="G156" s="5"/>
      <c r="H156" s="5"/>
      <c r="I156" s="5"/>
    </row>
    <row r="157" spans="1:10" hidden="1" x14ac:dyDescent="0.25">
      <c r="C157" s="5"/>
      <c r="D157" s="5"/>
      <c r="E157" s="5"/>
      <c r="F157" s="5"/>
      <c r="G157" s="5"/>
      <c r="H157" s="5"/>
      <c r="I157" s="5"/>
    </row>
    <row r="158" spans="1:10" hidden="1" x14ac:dyDescent="0.25">
      <c r="C158" s="5"/>
      <c r="D158" s="5"/>
      <c r="E158" s="5"/>
      <c r="F158" s="5"/>
      <c r="G158" s="5"/>
      <c r="H158" s="5"/>
      <c r="I158" s="5"/>
    </row>
    <row r="159" spans="1:10" hidden="1" x14ac:dyDescent="0.25">
      <c r="C159" s="5"/>
      <c r="D159" s="5"/>
      <c r="E159" s="5"/>
      <c r="F159" s="5"/>
      <c r="G159" s="5"/>
      <c r="H159" s="5"/>
      <c r="I159" s="5"/>
    </row>
    <row r="160" spans="1:10" hidden="1" x14ac:dyDescent="0.25">
      <c r="C160" s="5"/>
      <c r="D160" s="5"/>
      <c r="E160" s="5"/>
      <c r="F160" s="5"/>
      <c r="G160" s="5"/>
      <c r="H160" s="5"/>
      <c r="I160" s="5"/>
    </row>
    <row r="161" spans="3:9" hidden="1" x14ac:dyDescent="0.25">
      <c r="C161" s="5"/>
      <c r="D161" s="5"/>
      <c r="E161" s="5"/>
      <c r="F161" s="5"/>
      <c r="G161" s="5"/>
      <c r="H161" s="5"/>
      <c r="I161" s="5"/>
    </row>
    <row r="162" spans="3:9" x14ac:dyDescent="0.25">
      <c r="C162" s="5"/>
      <c r="D162" s="5"/>
      <c r="E162" s="5"/>
      <c r="F162" s="5"/>
      <c r="G162" s="5"/>
      <c r="H162" s="5"/>
    </row>
    <row r="163" spans="3:9" x14ac:dyDescent="0.25">
      <c r="E163" s="5"/>
    </row>
  </sheetData>
  <mergeCells count="101">
    <mergeCell ref="F2:I3"/>
    <mergeCell ref="F5:I5"/>
    <mergeCell ref="B8:I8"/>
    <mergeCell ref="B9:I9"/>
    <mergeCell ref="B11:H11"/>
    <mergeCell ref="B13:F14"/>
    <mergeCell ref="A24:B24"/>
    <mergeCell ref="A25:B25"/>
    <mergeCell ref="A26:B26"/>
    <mergeCell ref="A27:B27"/>
    <mergeCell ref="A28:B28"/>
    <mergeCell ref="A29:B29"/>
    <mergeCell ref="B16:F17"/>
    <mergeCell ref="B20:I20"/>
    <mergeCell ref="A21:B23"/>
    <mergeCell ref="C21:C23"/>
    <mergeCell ref="D21:D23"/>
    <mergeCell ref="E21:E23"/>
    <mergeCell ref="F21:I21"/>
    <mergeCell ref="I22:I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96:B96"/>
    <mergeCell ref="A97:B97"/>
    <mergeCell ref="A98:B98"/>
    <mergeCell ref="A99:B99"/>
    <mergeCell ref="A100:B100"/>
    <mergeCell ref="A102:H102"/>
    <mergeCell ref="A90:B90"/>
    <mergeCell ref="A91:B91"/>
    <mergeCell ref="A92:B92"/>
    <mergeCell ref="A93:B93"/>
    <mergeCell ref="A94:B94"/>
    <mergeCell ref="A95:B95"/>
    <mergeCell ref="A147:E147"/>
    <mergeCell ref="A104:A106"/>
    <mergeCell ref="B104:B106"/>
    <mergeCell ref="C104:C106"/>
    <mergeCell ref="D104:D106"/>
    <mergeCell ref="E104:E106"/>
    <mergeCell ref="F104:I104"/>
    <mergeCell ref="F105:F106"/>
    <mergeCell ref="I105:I106"/>
  </mergeCells>
  <pageMargins left="0.47244094488188981" right="1.1811023622047245" top="0.59055118110236227" bottom="0.39370078740157483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63"/>
  <sheetViews>
    <sheetView topLeftCell="A112" zoomScaleNormal="100" zoomScaleSheetLayoutView="100" workbookViewId="0">
      <selection activeCell="K114" sqref="K114:M123"/>
    </sheetView>
  </sheetViews>
  <sheetFormatPr defaultColWidth="9.140625" defaultRowHeight="15.75" x14ac:dyDescent="0.25"/>
  <cols>
    <col min="1" max="1" width="7.85546875" style="3" customWidth="1"/>
    <col min="2" max="2" width="62.28515625" style="1" customWidth="1"/>
    <col min="3" max="3" width="7" style="1" customWidth="1"/>
    <col min="4" max="4" width="11.42578125" style="1" customWidth="1"/>
    <col min="5" max="5" width="11.28515625" style="1" customWidth="1"/>
    <col min="6" max="8" width="14" style="1" customWidth="1"/>
    <col min="9" max="9" width="11.7109375" style="1" customWidth="1"/>
    <col min="10" max="10" width="14.28515625" style="2" bestFit="1" customWidth="1"/>
    <col min="11" max="12" width="9.140625" style="2"/>
    <col min="13" max="13" width="29.7109375" style="2" customWidth="1"/>
    <col min="14" max="16384" width="9.140625" style="2"/>
  </cols>
  <sheetData>
    <row r="1" spans="1:9" ht="15" customHeight="1" x14ac:dyDescent="0.25">
      <c r="A1" s="18"/>
      <c r="B1" s="19"/>
      <c r="C1" s="19"/>
      <c r="D1" s="19"/>
      <c r="E1" s="19"/>
      <c r="F1" s="19"/>
      <c r="G1" s="19"/>
      <c r="H1" s="19"/>
      <c r="I1" s="20" t="s">
        <v>0</v>
      </c>
    </row>
    <row r="2" spans="1:9" ht="15" customHeight="1" x14ac:dyDescent="0.25">
      <c r="A2" s="18"/>
      <c r="B2" s="19"/>
      <c r="C2" s="19"/>
      <c r="D2" s="19"/>
      <c r="E2" s="19"/>
      <c r="F2" s="170" t="s">
        <v>1</v>
      </c>
      <c r="G2" s="170"/>
      <c r="H2" s="170"/>
      <c r="I2" s="170"/>
    </row>
    <row r="3" spans="1:9" ht="15" customHeight="1" x14ac:dyDescent="0.25">
      <c r="A3" s="18"/>
      <c r="B3" s="19"/>
      <c r="C3" s="19"/>
      <c r="D3" s="19"/>
      <c r="E3" s="19"/>
      <c r="F3" s="170"/>
      <c r="G3" s="170"/>
      <c r="H3" s="170"/>
      <c r="I3" s="170"/>
    </row>
    <row r="4" spans="1:9" ht="15" customHeight="1" x14ac:dyDescent="0.25">
      <c r="A4" s="18"/>
      <c r="B4" s="19"/>
      <c r="C4" s="19"/>
      <c r="D4" s="19"/>
      <c r="E4" s="19"/>
      <c r="F4" s="19"/>
      <c r="G4" s="19"/>
      <c r="H4" s="19"/>
      <c r="I4" s="20" t="s">
        <v>2</v>
      </c>
    </row>
    <row r="5" spans="1:9" ht="15" customHeight="1" x14ac:dyDescent="0.25">
      <c r="A5" s="18"/>
      <c r="B5" s="19"/>
      <c r="C5" s="19"/>
      <c r="D5" s="19"/>
      <c r="E5" s="19"/>
      <c r="F5" s="167" t="s">
        <v>194</v>
      </c>
      <c r="G5" s="167"/>
      <c r="H5" s="167"/>
      <c r="I5" s="167"/>
    </row>
    <row r="6" spans="1:9" ht="15" customHeight="1" x14ac:dyDescent="0.25">
      <c r="A6" s="18"/>
      <c r="B6" s="19"/>
      <c r="C6" s="19"/>
      <c r="D6" s="19"/>
      <c r="E6" s="19"/>
      <c r="F6" s="19"/>
      <c r="G6" s="19"/>
      <c r="H6" s="19"/>
      <c r="I6" s="20"/>
    </row>
    <row r="7" spans="1:9" ht="15" customHeight="1" x14ac:dyDescent="0.25">
      <c r="A7" s="18"/>
      <c r="B7" s="19"/>
      <c r="C7" s="19"/>
      <c r="D7" s="19"/>
      <c r="E7" s="19"/>
      <c r="F7" s="19"/>
      <c r="G7" s="19"/>
      <c r="H7" s="19"/>
      <c r="I7" s="19"/>
    </row>
    <row r="8" spans="1:9" ht="15" customHeight="1" x14ac:dyDescent="0.3">
      <c r="A8" s="18"/>
      <c r="B8" s="168" t="s">
        <v>3</v>
      </c>
      <c r="C8" s="168"/>
      <c r="D8" s="168"/>
      <c r="E8" s="168"/>
      <c r="F8" s="168"/>
      <c r="G8" s="168"/>
      <c r="H8" s="168"/>
      <c r="I8" s="168"/>
    </row>
    <row r="9" spans="1:9" ht="15" customHeight="1" x14ac:dyDescent="0.3">
      <c r="A9" s="18"/>
      <c r="B9" s="168" t="s">
        <v>192</v>
      </c>
      <c r="C9" s="168"/>
      <c r="D9" s="168"/>
      <c r="E9" s="168"/>
      <c r="F9" s="168"/>
      <c r="G9" s="168"/>
      <c r="H9" s="168"/>
      <c r="I9" s="168"/>
    </row>
    <row r="10" spans="1:9" ht="15" customHeight="1" x14ac:dyDescent="0.25">
      <c r="A10" s="18"/>
      <c r="B10" s="19"/>
      <c r="C10" s="19"/>
      <c r="D10" s="19"/>
      <c r="E10" s="19"/>
      <c r="F10" s="19"/>
      <c r="G10" s="19"/>
      <c r="H10" s="19"/>
      <c r="I10" s="21"/>
    </row>
    <row r="11" spans="1:9" ht="15" customHeight="1" x14ac:dyDescent="0.25">
      <c r="A11" s="18"/>
      <c r="B11" s="169" t="s">
        <v>198</v>
      </c>
      <c r="C11" s="169"/>
      <c r="D11" s="169"/>
      <c r="E11" s="169"/>
      <c r="F11" s="169"/>
      <c r="G11" s="169"/>
      <c r="H11" s="169"/>
      <c r="I11" s="22" t="s">
        <v>4</v>
      </c>
    </row>
    <row r="12" spans="1:9" ht="15" customHeight="1" x14ac:dyDescent="0.25">
      <c r="A12" s="18"/>
      <c r="B12" s="19"/>
      <c r="C12" s="19"/>
      <c r="D12" s="19"/>
      <c r="E12" s="19"/>
      <c r="F12" s="19"/>
      <c r="G12" s="19"/>
      <c r="H12" s="23" t="s">
        <v>5</v>
      </c>
      <c r="I12" s="24">
        <v>44927</v>
      </c>
    </row>
    <row r="13" spans="1:9" ht="15" customHeight="1" x14ac:dyDescent="0.25">
      <c r="A13" s="18"/>
      <c r="B13" s="154" t="s">
        <v>6</v>
      </c>
      <c r="C13" s="154"/>
      <c r="D13" s="154"/>
      <c r="E13" s="154"/>
      <c r="F13" s="154"/>
      <c r="G13" s="19"/>
      <c r="H13" s="23" t="s">
        <v>7</v>
      </c>
      <c r="I13" s="22"/>
    </row>
    <row r="14" spans="1:9" ht="15" customHeight="1" x14ac:dyDescent="0.25">
      <c r="A14" s="18"/>
      <c r="B14" s="154"/>
      <c r="C14" s="154"/>
      <c r="D14" s="154"/>
      <c r="E14" s="154"/>
      <c r="F14" s="154"/>
      <c r="G14" s="25"/>
      <c r="H14" s="26" t="s">
        <v>8</v>
      </c>
      <c r="I14" s="27">
        <v>925</v>
      </c>
    </row>
    <row r="15" spans="1:9" ht="15" customHeight="1" x14ac:dyDescent="0.25">
      <c r="A15" s="18"/>
      <c r="B15" s="19"/>
      <c r="C15" s="19"/>
      <c r="D15" s="19"/>
      <c r="E15" s="19"/>
      <c r="F15" s="19"/>
      <c r="G15" s="19"/>
      <c r="H15" s="23" t="s">
        <v>7</v>
      </c>
      <c r="I15" s="22"/>
    </row>
    <row r="16" spans="1:9" ht="15" customHeight="1" x14ac:dyDescent="0.25">
      <c r="A16" s="18"/>
      <c r="B16" s="154" t="s">
        <v>184</v>
      </c>
      <c r="C16" s="154"/>
      <c r="D16" s="154"/>
      <c r="E16" s="154"/>
      <c r="F16" s="154"/>
      <c r="G16" s="25"/>
      <c r="H16" s="23" t="s">
        <v>9</v>
      </c>
      <c r="I16" s="22">
        <v>2329020879</v>
      </c>
    </row>
    <row r="17" spans="1:9" ht="15" customHeight="1" x14ac:dyDescent="0.25">
      <c r="A17" s="18"/>
      <c r="B17" s="154"/>
      <c r="C17" s="154"/>
      <c r="D17" s="154"/>
      <c r="E17" s="154"/>
      <c r="F17" s="154"/>
      <c r="G17" s="19"/>
      <c r="H17" s="23" t="s">
        <v>10</v>
      </c>
      <c r="I17" s="22">
        <v>232901001</v>
      </c>
    </row>
    <row r="18" spans="1:9" ht="15" customHeight="1" x14ac:dyDescent="0.25">
      <c r="A18" s="18"/>
      <c r="B18" s="19" t="s">
        <v>11</v>
      </c>
      <c r="C18" s="19"/>
      <c r="D18" s="19"/>
      <c r="E18" s="19"/>
      <c r="F18" s="19"/>
      <c r="G18" s="19"/>
      <c r="H18" s="23" t="s">
        <v>12</v>
      </c>
      <c r="I18" s="22">
        <v>383</v>
      </c>
    </row>
    <row r="19" spans="1:9" ht="15" customHeight="1" x14ac:dyDescent="0.25">
      <c r="A19" s="18"/>
      <c r="B19" s="19"/>
      <c r="C19" s="19"/>
      <c r="D19" s="19"/>
      <c r="E19" s="19"/>
      <c r="F19" s="19"/>
      <c r="G19" s="19"/>
      <c r="H19" s="23"/>
      <c r="I19" s="28"/>
    </row>
    <row r="20" spans="1:9" ht="15" customHeight="1" x14ac:dyDescent="0.25">
      <c r="A20" s="18"/>
      <c r="B20" s="155" t="s">
        <v>13</v>
      </c>
      <c r="C20" s="155"/>
      <c r="D20" s="155"/>
      <c r="E20" s="155"/>
      <c r="F20" s="155"/>
      <c r="G20" s="155"/>
      <c r="H20" s="155"/>
      <c r="I20" s="155"/>
    </row>
    <row r="21" spans="1:9" s="4" customFormat="1" ht="13.5" customHeight="1" x14ac:dyDescent="0.25">
      <c r="A21" s="156" t="s">
        <v>14</v>
      </c>
      <c r="B21" s="157"/>
      <c r="C21" s="130" t="s">
        <v>15</v>
      </c>
      <c r="D21" s="130" t="s">
        <v>16</v>
      </c>
      <c r="E21" s="130" t="s">
        <v>17</v>
      </c>
      <c r="F21" s="163" t="s">
        <v>18</v>
      </c>
      <c r="G21" s="164"/>
      <c r="H21" s="164"/>
      <c r="I21" s="165"/>
    </row>
    <row r="22" spans="1:9" s="4" customFormat="1" ht="15" customHeight="1" x14ac:dyDescent="0.25">
      <c r="A22" s="158"/>
      <c r="B22" s="159"/>
      <c r="C22" s="162"/>
      <c r="D22" s="162"/>
      <c r="E22" s="162"/>
      <c r="F22" s="29" t="s">
        <v>19</v>
      </c>
      <c r="G22" s="29" t="s">
        <v>179</v>
      </c>
      <c r="H22" s="29" t="s">
        <v>193</v>
      </c>
      <c r="I22" s="130" t="s">
        <v>20</v>
      </c>
    </row>
    <row r="23" spans="1:9" s="4" customFormat="1" ht="60" customHeight="1" x14ac:dyDescent="0.25">
      <c r="A23" s="160"/>
      <c r="B23" s="161"/>
      <c r="C23" s="131"/>
      <c r="D23" s="131"/>
      <c r="E23" s="131"/>
      <c r="F23" s="29" t="s">
        <v>21</v>
      </c>
      <c r="G23" s="29" t="s">
        <v>22</v>
      </c>
      <c r="H23" s="29" t="s">
        <v>23</v>
      </c>
      <c r="I23" s="131"/>
    </row>
    <row r="24" spans="1:9" s="4" customFormat="1" ht="12.75" customHeight="1" x14ac:dyDescent="0.25">
      <c r="A24" s="153">
        <v>1</v>
      </c>
      <c r="B24" s="153"/>
      <c r="C24" s="31">
        <v>2</v>
      </c>
      <c r="D24" s="31">
        <v>3</v>
      </c>
      <c r="E24" s="31">
        <v>4</v>
      </c>
      <c r="F24" s="29">
        <v>5</v>
      </c>
      <c r="G24" s="29">
        <v>6</v>
      </c>
      <c r="H24" s="29">
        <v>7</v>
      </c>
      <c r="I24" s="31">
        <v>8</v>
      </c>
    </row>
    <row r="25" spans="1:9" s="4" customFormat="1" ht="15" customHeight="1" x14ac:dyDescent="0.25">
      <c r="A25" s="148" t="s">
        <v>24</v>
      </c>
      <c r="B25" s="148"/>
      <c r="C25" s="32" t="s">
        <v>25</v>
      </c>
      <c r="D25" s="32" t="s">
        <v>26</v>
      </c>
      <c r="E25" s="29" t="s">
        <v>26</v>
      </c>
      <c r="F25" s="33">
        <f>180978.76+5255.14</f>
        <v>186233.90000000002</v>
      </c>
      <c r="G25" s="33">
        <v>0</v>
      </c>
      <c r="H25" s="33">
        <v>0</v>
      </c>
      <c r="I25" s="33">
        <v>0</v>
      </c>
    </row>
    <row r="26" spans="1:9" s="4" customFormat="1" ht="15" customHeight="1" x14ac:dyDescent="0.25">
      <c r="A26" s="148" t="s">
        <v>27</v>
      </c>
      <c r="B26" s="148"/>
      <c r="C26" s="32" t="s">
        <v>28</v>
      </c>
      <c r="D26" s="32" t="s">
        <v>26</v>
      </c>
      <c r="E26" s="29" t="s">
        <v>26</v>
      </c>
      <c r="F26" s="33">
        <f>F27+F25-F48-F99+F95</f>
        <v>0</v>
      </c>
      <c r="G26" s="33">
        <f>G27+G25-G48-G99+G95</f>
        <v>-9.3132257461547852E-10</v>
      </c>
      <c r="H26" s="33">
        <f>H27+H25-H48-H99+H95</f>
        <v>0</v>
      </c>
      <c r="I26" s="33">
        <v>0</v>
      </c>
    </row>
    <row r="27" spans="1:9" s="4" customFormat="1" ht="15" customHeight="1" x14ac:dyDescent="0.2">
      <c r="A27" s="145" t="s">
        <v>29</v>
      </c>
      <c r="B27" s="145"/>
      <c r="C27" s="34" t="s">
        <v>30</v>
      </c>
      <c r="D27" s="35"/>
      <c r="E27" s="36">
        <v>100</v>
      </c>
      <c r="F27" s="37">
        <f>F28+F29+F33+F34+F45+F46+F42</f>
        <v>4249890.37</v>
      </c>
      <c r="G27" s="37">
        <f>G28+G29+G33+G34+G45+G46+G42</f>
        <v>4420940.37</v>
      </c>
      <c r="H27" s="37">
        <f>H28+H29+H33+H45+H46+H42</f>
        <v>4516140.37</v>
      </c>
      <c r="I27" s="37">
        <f>I28+I29+I33+I34+I44+I45</f>
        <v>0</v>
      </c>
    </row>
    <row r="28" spans="1:9" s="4" customFormat="1" ht="26.25" customHeight="1" x14ac:dyDescent="0.25">
      <c r="A28" s="148" t="s">
        <v>31</v>
      </c>
      <c r="B28" s="148"/>
      <c r="C28" s="38" t="s">
        <v>32</v>
      </c>
      <c r="D28" s="32" t="s">
        <v>33</v>
      </c>
      <c r="E28" s="29"/>
      <c r="F28" s="33"/>
      <c r="G28" s="33"/>
      <c r="H28" s="33"/>
      <c r="I28" s="33"/>
    </row>
    <row r="29" spans="1:9" s="4" customFormat="1" ht="15" customHeight="1" x14ac:dyDescent="0.25">
      <c r="A29" s="148" t="s">
        <v>34</v>
      </c>
      <c r="B29" s="148"/>
      <c r="C29" s="32" t="s">
        <v>35</v>
      </c>
      <c r="D29" s="32" t="s">
        <v>36</v>
      </c>
      <c r="E29" s="29">
        <v>131</v>
      </c>
      <c r="F29" s="33">
        <f>F30+F32+F43+F45</f>
        <v>3876290.37</v>
      </c>
      <c r="G29" s="33">
        <f>G30+G32+G43+G45</f>
        <v>3927840.37</v>
      </c>
      <c r="H29" s="33">
        <f>H30+H32+H43+H45+H35</f>
        <v>4516140.37</v>
      </c>
      <c r="I29" s="33">
        <f t="shared" ref="I29" si="0">SUM(I30:I32)</f>
        <v>0</v>
      </c>
    </row>
    <row r="30" spans="1:9" s="4" customFormat="1" ht="61.5" customHeight="1" x14ac:dyDescent="0.25">
      <c r="A30" s="148" t="s">
        <v>37</v>
      </c>
      <c r="B30" s="148"/>
      <c r="C30" s="32" t="s">
        <v>38</v>
      </c>
      <c r="D30" s="32" t="s">
        <v>36</v>
      </c>
      <c r="E30" s="29"/>
      <c r="F30" s="33">
        <f>2184433.1+1521494.77</f>
        <v>3705927.87</v>
      </c>
      <c r="G30" s="33">
        <f>3927840.37-170362.5</f>
        <v>3757477.87</v>
      </c>
      <c r="H30" s="33">
        <f>3969440.37-170362.5</f>
        <v>3799077.87</v>
      </c>
      <c r="I30" s="33"/>
    </row>
    <row r="31" spans="1:9" s="4" customFormat="1" ht="48" customHeight="1" x14ac:dyDescent="0.25">
      <c r="A31" s="148" t="s">
        <v>39</v>
      </c>
      <c r="B31" s="148"/>
      <c r="C31" s="32" t="s">
        <v>40</v>
      </c>
      <c r="D31" s="32" t="s">
        <v>36</v>
      </c>
      <c r="E31" s="29"/>
      <c r="F31" s="33"/>
      <c r="G31" s="33"/>
      <c r="H31" s="33"/>
      <c r="I31" s="33"/>
    </row>
    <row r="32" spans="1:9" s="4" customFormat="1" ht="47.25" customHeight="1" x14ac:dyDescent="0.25">
      <c r="A32" s="148" t="s">
        <v>41</v>
      </c>
      <c r="B32" s="148"/>
      <c r="C32" s="32" t="s">
        <v>42</v>
      </c>
      <c r="D32" s="32" t="s">
        <v>36</v>
      </c>
      <c r="E32" s="29"/>
      <c r="F32" s="33">
        <f>170362.5</f>
        <v>170362.5</v>
      </c>
      <c r="G32" s="33">
        <v>170362.5</v>
      </c>
      <c r="H32" s="33">
        <v>170362.5</v>
      </c>
      <c r="I32" s="33"/>
    </row>
    <row r="33" spans="1:9" s="4" customFormat="1" ht="15" customHeight="1" x14ac:dyDescent="0.25">
      <c r="A33" s="148" t="s">
        <v>43</v>
      </c>
      <c r="B33" s="148"/>
      <c r="C33" s="32" t="s">
        <v>44</v>
      </c>
      <c r="D33" s="32" t="s">
        <v>45</v>
      </c>
      <c r="E33" s="29"/>
      <c r="F33" s="33"/>
      <c r="G33" s="33"/>
      <c r="H33" s="33"/>
      <c r="I33" s="33"/>
    </row>
    <row r="34" spans="1:9" s="4" customFormat="1" ht="15" customHeight="1" x14ac:dyDescent="0.25">
      <c r="A34" s="148" t="s">
        <v>46</v>
      </c>
      <c r="B34" s="148"/>
      <c r="C34" s="32" t="s">
        <v>47</v>
      </c>
      <c r="D34" s="32" t="s">
        <v>48</v>
      </c>
      <c r="E34" s="29"/>
      <c r="F34" s="33">
        <f>F35</f>
        <v>373600</v>
      </c>
      <c r="G34" s="33">
        <f>G35</f>
        <v>493100</v>
      </c>
      <c r="H34" s="33">
        <f>H35</f>
        <v>546700</v>
      </c>
      <c r="I34" s="33"/>
    </row>
    <row r="35" spans="1:9" s="4" customFormat="1" ht="15" customHeight="1" x14ac:dyDescent="0.25">
      <c r="A35" s="148" t="s">
        <v>49</v>
      </c>
      <c r="B35" s="148"/>
      <c r="C35" s="32" t="s">
        <v>50</v>
      </c>
      <c r="D35" s="32" t="s">
        <v>48</v>
      </c>
      <c r="E35" s="29"/>
      <c r="F35" s="33">
        <f>SUM(F36:F40)</f>
        <v>373600</v>
      </c>
      <c r="G35" s="33">
        <f>SUM(G36:G40)</f>
        <v>493100</v>
      </c>
      <c r="H35" s="33">
        <f>SUM(H36:H40)</f>
        <v>546700</v>
      </c>
      <c r="I35" s="33"/>
    </row>
    <row r="36" spans="1:9" s="4" customFormat="1" ht="27" customHeight="1" x14ac:dyDescent="0.25">
      <c r="A36" s="149" t="s">
        <v>195</v>
      </c>
      <c r="B36" s="150"/>
      <c r="C36" s="32"/>
      <c r="D36" s="32"/>
      <c r="E36" s="30"/>
      <c r="F36" s="33">
        <f>246900-10000</f>
        <v>236900</v>
      </c>
      <c r="G36" s="33">
        <v>236900</v>
      </c>
      <c r="H36" s="33">
        <v>236900</v>
      </c>
      <c r="I36" s="33"/>
    </row>
    <row r="37" spans="1:9" s="4" customFormat="1" ht="26.25" customHeight="1" x14ac:dyDescent="0.25">
      <c r="A37" s="151" t="s">
        <v>196</v>
      </c>
      <c r="B37" s="152"/>
      <c r="C37" s="32"/>
      <c r="D37" s="32"/>
      <c r="E37" s="29"/>
      <c r="F37" s="33">
        <v>10000</v>
      </c>
      <c r="G37" s="33">
        <v>10000</v>
      </c>
      <c r="H37" s="33">
        <v>10000</v>
      </c>
      <c r="I37" s="33"/>
    </row>
    <row r="38" spans="1:9" s="4" customFormat="1" ht="35.25" customHeight="1" x14ac:dyDescent="0.25">
      <c r="A38" s="148" t="s">
        <v>183</v>
      </c>
      <c r="B38" s="148"/>
      <c r="C38" s="32"/>
      <c r="D38" s="32"/>
      <c r="E38" s="29"/>
      <c r="F38" s="33">
        <v>23700</v>
      </c>
      <c r="G38" s="33">
        <v>23700</v>
      </c>
      <c r="H38" s="33">
        <v>23700</v>
      </c>
      <c r="I38" s="33"/>
    </row>
    <row r="39" spans="1:9" s="4" customFormat="1" ht="39" customHeight="1" x14ac:dyDescent="0.25">
      <c r="A39" s="148" t="s">
        <v>180</v>
      </c>
      <c r="B39" s="148"/>
      <c r="C39" s="32"/>
      <c r="D39" s="32"/>
      <c r="E39" s="29"/>
      <c r="F39" s="33">
        <v>70700</v>
      </c>
      <c r="G39" s="33">
        <v>70700</v>
      </c>
      <c r="H39" s="33">
        <v>70700</v>
      </c>
      <c r="I39" s="33"/>
    </row>
    <row r="40" spans="1:9" s="4" customFormat="1" ht="42" customHeight="1" x14ac:dyDescent="0.25">
      <c r="A40" s="148" t="s">
        <v>181</v>
      </c>
      <c r="B40" s="148"/>
      <c r="C40" s="32"/>
      <c r="D40" s="32"/>
      <c r="E40" s="29"/>
      <c r="F40" s="33">
        <v>32300</v>
      </c>
      <c r="G40" s="33">
        <v>151800</v>
      </c>
      <c r="H40" s="33">
        <v>205400</v>
      </c>
      <c r="I40" s="33"/>
    </row>
    <row r="41" spans="1:9" s="4" customFormat="1" ht="19.5" customHeight="1" x14ac:dyDescent="0.25">
      <c r="A41" s="148" t="s">
        <v>51</v>
      </c>
      <c r="B41" s="148"/>
      <c r="C41" s="32" t="s">
        <v>52</v>
      </c>
      <c r="D41" s="32" t="s">
        <v>48</v>
      </c>
      <c r="E41" s="29"/>
      <c r="F41" s="33"/>
      <c r="G41" s="33"/>
      <c r="H41" s="33"/>
      <c r="I41" s="33"/>
    </row>
    <row r="42" spans="1:9" s="4" customFormat="1" ht="43.5" customHeight="1" x14ac:dyDescent="0.25">
      <c r="A42" s="146" t="s">
        <v>53</v>
      </c>
      <c r="B42" s="147"/>
      <c r="C42" s="32" t="s">
        <v>54</v>
      </c>
      <c r="D42" s="32" t="s">
        <v>48</v>
      </c>
      <c r="E42" s="29"/>
      <c r="F42" s="33"/>
      <c r="G42" s="33"/>
      <c r="H42" s="33"/>
      <c r="I42" s="33"/>
    </row>
    <row r="43" spans="1:9" s="4" customFormat="1" ht="15" customHeight="1" x14ac:dyDescent="0.25">
      <c r="A43" s="148" t="s">
        <v>55</v>
      </c>
      <c r="B43" s="148"/>
      <c r="C43" s="32" t="s">
        <v>56</v>
      </c>
      <c r="D43" s="32" t="s">
        <v>57</v>
      </c>
      <c r="E43" s="29"/>
      <c r="F43" s="33"/>
      <c r="G43" s="33"/>
      <c r="H43" s="33"/>
      <c r="I43" s="33"/>
    </row>
    <row r="44" spans="1:9" s="4" customFormat="1" ht="15" customHeight="1" x14ac:dyDescent="0.25">
      <c r="A44" s="146" t="s">
        <v>58</v>
      </c>
      <c r="B44" s="147"/>
      <c r="C44" s="32"/>
      <c r="D44" s="32"/>
      <c r="E44" s="29"/>
      <c r="F44" s="33"/>
      <c r="G44" s="33"/>
      <c r="H44" s="33"/>
      <c r="I44" s="33"/>
    </row>
    <row r="45" spans="1:9" s="4" customFormat="1" ht="15" customHeight="1" x14ac:dyDescent="0.25">
      <c r="A45" s="148" t="s">
        <v>59</v>
      </c>
      <c r="B45" s="148"/>
      <c r="C45" s="32" t="s">
        <v>60</v>
      </c>
      <c r="D45" s="32" t="s">
        <v>61</v>
      </c>
      <c r="E45" s="29"/>
      <c r="F45" s="33"/>
      <c r="G45" s="33"/>
      <c r="H45" s="33"/>
      <c r="I45" s="33"/>
    </row>
    <row r="46" spans="1:9" s="4" customFormat="1" ht="17.25" customHeight="1" x14ac:dyDescent="0.25">
      <c r="A46" s="148" t="s">
        <v>62</v>
      </c>
      <c r="B46" s="148"/>
      <c r="C46" s="32" t="s">
        <v>63</v>
      </c>
      <c r="D46" s="32" t="s">
        <v>26</v>
      </c>
      <c r="E46" s="29"/>
      <c r="F46" s="33"/>
      <c r="G46" s="33"/>
      <c r="H46" s="33"/>
      <c r="I46" s="33" t="s">
        <v>26</v>
      </c>
    </row>
    <row r="47" spans="1:9" s="4" customFormat="1" ht="42" customHeight="1" x14ac:dyDescent="0.25">
      <c r="A47" s="148" t="s">
        <v>64</v>
      </c>
      <c r="B47" s="148"/>
      <c r="C47" s="32" t="s">
        <v>65</v>
      </c>
      <c r="D47" s="32" t="s">
        <v>66</v>
      </c>
      <c r="E47" s="29"/>
      <c r="F47" s="33"/>
      <c r="G47" s="33"/>
      <c r="H47" s="33"/>
      <c r="I47" s="37"/>
    </row>
    <row r="48" spans="1:9" s="4" customFormat="1" ht="30" customHeight="1" x14ac:dyDescent="0.25">
      <c r="A48" s="145" t="s">
        <v>67</v>
      </c>
      <c r="B48" s="145"/>
      <c r="C48" s="35" t="s">
        <v>68</v>
      </c>
      <c r="D48" s="35" t="s">
        <v>26</v>
      </c>
      <c r="E48" s="36">
        <v>200</v>
      </c>
      <c r="F48" s="37">
        <f>F49+F59+F66+F70+F77+F79</f>
        <v>4436124.2700000005</v>
      </c>
      <c r="G48" s="37">
        <f>G49+G59+G66+G70+G77+G79</f>
        <v>4420940.370000001</v>
      </c>
      <c r="H48" s="37">
        <f>H49+H59+H66+H70+H77+H79</f>
        <v>4516140.37</v>
      </c>
      <c r="I48" s="39" t="s">
        <v>26</v>
      </c>
    </row>
    <row r="49" spans="1:9" s="4" customFormat="1" ht="25.5" customHeight="1" x14ac:dyDescent="0.25">
      <c r="A49" s="143" t="s">
        <v>69</v>
      </c>
      <c r="B49" s="143"/>
      <c r="C49" s="40">
        <v>2100</v>
      </c>
      <c r="D49" s="35" t="s">
        <v>26</v>
      </c>
      <c r="E49" s="40">
        <v>210</v>
      </c>
      <c r="F49" s="39">
        <f>F50+F51+F52+F53+F54+F55+F56</f>
        <v>3069626.0000000005</v>
      </c>
      <c r="G49" s="39">
        <f>G50+G51+G52+G53+G54+G55+G56</f>
        <v>3069626.0000000005</v>
      </c>
      <c r="H49" s="39">
        <f>H50+H51+H52+H53+H54+H55+H56</f>
        <v>3069626</v>
      </c>
      <c r="I49" s="39" t="s">
        <v>26</v>
      </c>
    </row>
    <row r="50" spans="1:9" s="4" customFormat="1" ht="30" customHeight="1" x14ac:dyDescent="0.25">
      <c r="A50" s="144" t="s">
        <v>70</v>
      </c>
      <c r="B50" s="144"/>
      <c r="C50" s="40">
        <v>2110</v>
      </c>
      <c r="D50" s="40">
        <v>111</v>
      </c>
      <c r="E50" s="40">
        <v>211</v>
      </c>
      <c r="F50" s="39">
        <f>1023246+1152426.81+84754.22+97196.62</f>
        <v>2357623.6500000004</v>
      </c>
      <c r="G50" s="39">
        <f>1023246+1152426.81+84754.22+97196.62</f>
        <v>2357623.6500000004</v>
      </c>
      <c r="H50" s="39">
        <v>2357623.65</v>
      </c>
      <c r="I50" s="39" t="s">
        <v>26</v>
      </c>
    </row>
    <row r="51" spans="1:9" s="4" customFormat="1" ht="23.25" customHeight="1" x14ac:dyDescent="0.25">
      <c r="A51" s="144" t="s">
        <v>71</v>
      </c>
      <c r="B51" s="144"/>
      <c r="C51" s="40">
        <v>2120</v>
      </c>
      <c r="D51" s="40">
        <v>112</v>
      </c>
      <c r="E51" s="40">
        <v>266</v>
      </c>
      <c r="F51" s="39"/>
      <c r="G51" s="39"/>
      <c r="H51" s="39"/>
      <c r="I51" s="39" t="s">
        <v>26</v>
      </c>
    </row>
    <row r="52" spans="1:9" s="4" customFormat="1" ht="31.5" customHeight="1" x14ac:dyDescent="0.25">
      <c r="A52" s="144" t="s">
        <v>72</v>
      </c>
      <c r="B52" s="144"/>
      <c r="C52" s="40">
        <v>2130</v>
      </c>
      <c r="D52" s="40">
        <v>113</v>
      </c>
      <c r="E52" s="40">
        <v>226</v>
      </c>
      <c r="F52" s="39"/>
      <c r="G52" s="39"/>
      <c r="H52" s="39"/>
      <c r="I52" s="39" t="s">
        <v>26</v>
      </c>
    </row>
    <row r="53" spans="1:9" s="4" customFormat="1" ht="34.5" customHeight="1" x14ac:dyDescent="0.25">
      <c r="A53" s="144" t="s">
        <v>73</v>
      </c>
      <c r="B53" s="144"/>
      <c r="C53" s="40">
        <v>2140</v>
      </c>
      <c r="D53" s="40">
        <v>119</v>
      </c>
      <c r="E53" s="40">
        <v>213</v>
      </c>
      <c r="F53" s="39">
        <f>309020.29+348032.9+25595.78+29353.38</f>
        <v>712002.35</v>
      </c>
      <c r="G53" s="39">
        <f>25595.78+29353.38+309020.29+348032.9</f>
        <v>712002.35</v>
      </c>
      <c r="H53" s="39">
        <v>712002.35</v>
      </c>
      <c r="I53" s="39" t="s">
        <v>26</v>
      </c>
    </row>
    <row r="54" spans="1:9" s="4" customFormat="1" ht="29.25" customHeight="1" x14ac:dyDescent="0.25">
      <c r="A54" s="144" t="s">
        <v>74</v>
      </c>
      <c r="B54" s="144"/>
      <c r="C54" s="40">
        <v>2150</v>
      </c>
      <c r="D54" s="40">
        <v>131</v>
      </c>
      <c r="E54" s="40"/>
      <c r="F54" s="39"/>
      <c r="G54" s="39"/>
      <c r="H54" s="39"/>
      <c r="I54" s="39" t="s">
        <v>26</v>
      </c>
    </row>
    <row r="55" spans="1:9" s="4" customFormat="1" ht="29.25" customHeight="1" x14ac:dyDescent="0.25">
      <c r="A55" s="144" t="s">
        <v>75</v>
      </c>
      <c r="B55" s="144"/>
      <c r="C55" s="40">
        <v>2170</v>
      </c>
      <c r="D55" s="40">
        <v>134</v>
      </c>
      <c r="E55" s="40"/>
      <c r="F55" s="39"/>
      <c r="G55" s="39"/>
      <c r="H55" s="39"/>
      <c r="I55" s="39" t="s">
        <v>26</v>
      </c>
    </row>
    <row r="56" spans="1:9" s="4" customFormat="1" ht="32.25" customHeight="1" x14ac:dyDescent="0.25">
      <c r="A56" s="144" t="s">
        <v>76</v>
      </c>
      <c r="B56" s="144"/>
      <c r="C56" s="40">
        <v>2180</v>
      </c>
      <c r="D56" s="40">
        <v>139</v>
      </c>
      <c r="E56" s="40"/>
      <c r="F56" s="39">
        <f>F57+F58</f>
        <v>0</v>
      </c>
      <c r="G56" s="39">
        <f t="shared" ref="G56:H56" si="1">G57+G58</f>
        <v>0</v>
      </c>
      <c r="H56" s="39">
        <f t="shared" si="1"/>
        <v>0</v>
      </c>
      <c r="I56" s="39" t="s">
        <v>26</v>
      </c>
    </row>
    <row r="57" spans="1:9" s="4" customFormat="1" ht="30" customHeight="1" x14ac:dyDescent="0.25">
      <c r="A57" s="143" t="s">
        <v>77</v>
      </c>
      <c r="B57" s="143"/>
      <c r="C57" s="40">
        <v>2181</v>
      </c>
      <c r="D57" s="40">
        <v>139</v>
      </c>
      <c r="E57" s="40"/>
      <c r="F57" s="39"/>
      <c r="G57" s="39"/>
      <c r="H57" s="39"/>
      <c r="I57" s="39" t="s">
        <v>26</v>
      </c>
    </row>
    <row r="58" spans="1:9" s="4" customFormat="1" ht="16.5" customHeight="1" x14ac:dyDescent="0.25">
      <c r="A58" s="143" t="s">
        <v>78</v>
      </c>
      <c r="B58" s="143"/>
      <c r="C58" s="40">
        <v>2172</v>
      </c>
      <c r="D58" s="40">
        <v>139</v>
      </c>
      <c r="E58" s="40"/>
      <c r="F58" s="39"/>
      <c r="G58" s="39"/>
      <c r="H58" s="39"/>
      <c r="I58" s="39" t="s">
        <v>26</v>
      </c>
    </row>
    <row r="59" spans="1:9" s="4" customFormat="1" ht="17.25" customHeight="1" x14ac:dyDescent="0.25">
      <c r="A59" s="143" t="s">
        <v>79</v>
      </c>
      <c r="B59" s="143"/>
      <c r="C59" s="40">
        <v>2200</v>
      </c>
      <c r="D59" s="40">
        <v>300</v>
      </c>
      <c r="E59" s="40"/>
      <c r="F59" s="39">
        <f>F60+F63+F64+F65</f>
        <v>23700</v>
      </c>
      <c r="G59" s="39">
        <f>G60+G63+G64+G65</f>
        <v>23700</v>
      </c>
      <c r="H59" s="39">
        <f>H60+H63+H64+H65</f>
        <v>23700</v>
      </c>
      <c r="I59" s="39" t="s">
        <v>26</v>
      </c>
    </row>
    <row r="60" spans="1:9" s="4" customFormat="1" ht="45" customHeight="1" x14ac:dyDescent="0.25">
      <c r="A60" s="143" t="s">
        <v>80</v>
      </c>
      <c r="B60" s="143"/>
      <c r="C60" s="40">
        <v>2210</v>
      </c>
      <c r="D60" s="40">
        <v>320</v>
      </c>
      <c r="E60" s="40"/>
      <c r="F60" s="39">
        <f>SUM(F61:F62)</f>
        <v>23700</v>
      </c>
      <c r="G60" s="39">
        <f t="shared" ref="G60:H60" si="2">SUM(G61:G62)</f>
        <v>23700</v>
      </c>
      <c r="H60" s="39">
        <f t="shared" si="2"/>
        <v>23700</v>
      </c>
      <c r="I60" s="39" t="s">
        <v>26</v>
      </c>
    </row>
    <row r="61" spans="1:9" s="4" customFormat="1" ht="43.5" customHeight="1" x14ac:dyDescent="0.25">
      <c r="A61" s="143" t="s">
        <v>81</v>
      </c>
      <c r="B61" s="143"/>
      <c r="C61" s="40">
        <v>2211</v>
      </c>
      <c r="D61" s="40">
        <v>321</v>
      </c>
      <c r="E61" s="40">
        <v>267</v>
      </c>
      <c r="F61" s="39">
        <v>23700</v>
      </c>
      <c r="G61" s="39">
        <v>23700</v>
      </c>
      <c r="H61" s="39">
        <v>23700</v>
      </c>
      <c r="I61" s="39"/>
    </row>
    <row r="62" spans="1:9" s="4" customFormat="1" ht="30.75" customHeight="1" x14ac:dyDescent="0.25">
      <c r="A62" s="143" t="s">
        <v>82</v>
      </c>
      <c r="B62" s="143"/>
      <c r="C62" s="40">
        <v>2212</v>
      </c>
      <c r="D62" s="40">
        <v>321</v>
      </c>
      <c r="E62" s="40">
        <v>263</v>
      </c>
      <c r="F62" s="39"/>
      <c r="G62" s="39"/>
      <c r="H62" s="39"/>
      <c r="I62" s="39" t="s">
        <v>26</v>
      </c>
    </row>
    <row r="63" spans="1:9" s="4" customFormat="1" ht="33" customHeight="1" x14ac:dyDescent="0.25">
      <c r="A63" s="143" t="s">
        <v>83</v>
      </c>
      <c r="B63" s="143"/>
      <c r="C63" s="40">
        <v>2220</v>
      </c>
      <c r="D63" s="40">
        <v>340</v>
      </c>
      <c r="E63" s="40"/>
      <c r="F63" s="39"/>
      <c r="G63" s="39"/>
      <c r="H63" s="39"/>
      <c r="I63" s="39" t="s">
        <v>26</v>
      </c>
    </row>
    <row r="64" spans="1:9" s="4" customFormat="1" ht="13.5" customHeight="1" x14ac:dyDescent="0.25">
      <c r="A64" s="143" t="s">
        <v>84</v>
      </c>
      <c r="B64" s="143"/>
      <c r="C64" s="40">
        <v>2230</v>
      </c>
      <c r="D64" s="40">
        <v>350</v>
      </c>
      <c r="E64" s="40"/>
      <c r="F64" s="39"/>
      <c r="G64" s="39"/>
      <c r="H64" s="39"/>
      <c r="I64" s="39" t="s">
        <v>26</v>
      </c>
    </row>
    <row r="65" spans="1:9" s="4" customFormat="1" ht="18" customHeight="1" x14ac:dyDescent="0.25">
      <c r="A65" s="143" t="s">
        <v>85</v>
      </c>
      <c r="B65" s="143"/>
      <c r="C65" s="40">
        <v>2240</v>
      </c>
      <c r="D65" s="40">
        <v>360</v>
      </c>
      <c r="E65" s="40"/>
      <c r="F65" s="39"/>
      <c r="G65" s="39"/>
      <c r="H65" s="39"/>
      <c r="I65" s="39" t="s">
        <v>26</v>
      </c>
    </row>
    <row r="66" spans="1:9" s="4" customFormat="1" ht="17.25" customHeight="1" x14ac:dyDescent="0.25">
      <c r="A66" s="143" t="s">
        <v>86</v>
      </c>
      <c r="B66" s="143"/>
      <c r="C66" s="40">
        <v>2300</v>
      </c>
      <c r="D66" s="40">
        <v>850</v>
      </c>
      <c r="E66" s="40"/>
      <c r="F66" s="39">
        <f>SUM(F67:F69)</f>
        <v>10350.34</v>
      </c>
      <c r="G66" s="39">
        <f t="shared" ref="G66:H66" si="3">SUM(G67:G69)</f>
        <v>9060</v>
      </c>
      <c r="H66" s="39">
        <f t="shared" si="3"/>
        <v>9060</v>
      </c>
      <c r="I66" s="39" t="s">
        <v>26</v>
      </c>
    </row>
    <row r="67" spans="1:9" s="4" customFormat="1" ht="27" customHeight="1" x14ac:dyDescent="0.25">
      <c r="A67" s="143" t="s">
        <v>87</v>
      </c>
      <c r="B67" s="143"/>
      <c r="C67" s="40">
        <v>2310</v>
      </c>
      <c r="D67" s="40">
        <v>851</v>
      </c>
      <c r="E67" s="40">
        <v>290</v>
      </c>
      <c r="F67" s="39">
        <v>9050</v>
      </c>
      <c r="G67" s="39">
        <v>9000</v>
      </c>
      <c r="H67" s="39">
        <v>9000</v>
      </c>
      <c r="I67" s="41" t="s">
        <v>26</v>
      </c>
    </row>
    <row r="68" spans="1:9" s="4" customFormat="1" ht="33" customHeight="1" x14ac:dyDescent="0.25">
      <c r="A68" s="132" t="s">
        <v>88</v>
      </c>
      <c r="B68" s="132"/>
      <c r="C68" s="42">
        <v>2320</v>
      </c>
      <c r="D68" s="42">
        <v>852</v>
      </c>
      <c r="E68" s="42">
        <v>290</v>
      </c>
      <c r="F68" s="41">
        <v>20</v>
      </c>
      <c r="G68" s="41">
        <v>60</v>
      </c>
      <c r="H68" s="41">
        <v>60</v>
      </c>
      <c r="I68" s="41" t="s">
        <v>26</v>
      </c>
    </row>
    <row r="69" spans="1:9" s="4" customFormat="1" ht="17.25" customHeight="1" x14ac:dyDescent="0.25">
      <c r="A69" s="132" t="s">
        <v>89</v>
      </c>
      <c r="B69" s="132"/>
      <c r="C69" s="42">
        <v>2330</v>
      </c>
      <c r="D69" s="42">
        <v>853</v>
      </c>
      <c r="E69" s="42">
        <v>290</v>
      </c>
      <c r="F69" s="41">
        <f>10+1270.34</f>
        <v>1280.3399999999999</v>
      </c>
      <c r="G69" s="41">
        <v>0</v>
      </c>
      <c r="H69" s="41"/>
      <c r="I69" s="41" t="s">
        <v>26</v>
      </c>
    </row>
    <row r="70" spans="1:9" s="4" customFormat="1" ht="15.75" customHeight="1" x14ac:dyDescent="0.25">
      <c r="A70" s="132" t="s">
        <v>90</v>
      </c>
      <c r="B70" s="132"/>
      <c r="C70" s="42">
        <v>2400</v>
      </c>
      <c r="D70" s="42" t="s">
        <v>26</v>
      </c>
      <c r="E70" s="42"/>
      <c r="F70" s="41">
        <f>SUM(F71:F73)</f>
        <v>0</v>
      </c>
      <c r="G70" s="41">
        <f t="shared" ref="G70:H70" si="4">SUM(G71:G73)</f>
        <v>0</v>
      </c>
      <c r="H70" s="41">
        <f t="shared" si="4"/>
        <v>0</v>
      </c>
      <c r="I70" s="41" t="s">
        <v>26</v>
      </c>
    </row>
    <row r="71" spans="1:9" s="4" customFormat="1" ht="29.25" customHeight="1" x14ac:dyDescent="0.25">
      <c r="A71" s="132" t="s">
        <v>91</v>
      </c>
      <c r="B71" s="132"/>
      <c r="C71" s="42">
        <v>2410</v>
      </c>
      <c r="D71" s="42">
        <v>613</v>
      </c>
      <c r="E71" s="42"/>
      <c r="F71" s="41"/>
      <c r="G71" s="41"/>
      <c r="H71" s="41"/>
      <c r="I71" s="41" t="s">
        <v>26</v>
      </c>
    </row>
    <row r="72" spans="1:9" s="4" customFormat="1" ht="16.5" customHeight="1" x14ac:dyDescent="0.25">
      <c r="A72" s="132" t="s">
        <v>92</v>
      </c>
      <c r="B72" s="132"/>
      <c r="C72" s="42">
        <v>2420</v>
      </c>
      <c r="D72" s="42">
        <v>623</v>
      </c>
      <c r="E72" s="42"/>
      <c r="F72" s="41"/>
      <c r="G72" s="41"/>
      <c r="H72" s="41"/>
      <c r="I72" s="41" t="s">
        <v>26</v>
      </c>
    </row>
    <row r="73" spans="1:9" s="4" customFormat="1" ht="28.5" customHeight="1" x14ac:dyDescent="0.25">
      <c r="A73" s="132" t="s">
        <v>93</v>
      </c>
      <c r="B73" s="132"/>
      <c r="C73" s="42">
        <v>2430</v>
      </c>
      <c r="D73" s="42">
        <v>634</v>
      </c>
      <c r="E73" s="42"/>
      <c r="F73" s="41"/>
      <c r="G73" s="41"/>
      <c r="H73" s="41"/>
      <c r="I73" s="41" t="s">
        <v>26</v>
      </c>
    </row>
    <row r="74" spans="1:9" s="4" customFormat="1" ht="15.75" customHeight="1" x14ac:dyDescent="0.25">
      <c r="A74" s="132" t="s">
        <v>94</v>
      </c>
      <c r="B74" s="132"/>
      <c r="C74" s="42">
        <v>2440</v>
      </c>
      <c r="D74" s="42">
        <v>810</v>
      </c>
      <c r="E74" s="42"/>
      <c r="F74" s="41"/>
      <c r="G74" s="41"/>
      <c r="H74" s="41"/>
      <c r="I74" s="41"/>
    </row>
    <row r="75" spans="1:9" s="4" customFormat="1" ht="16.5" customHeight="1" x14ac:dyDescent="0.25">
      <c r="A75" s="141" t="s">
        <v>95</v>
      </c>
      <c r="B75" s="142"/>
      <c r="C75" s="42">
        <v>2450</v>
      </c>
      <c r="D75" s="42">
        <v>862</v>
      </c>
      <c r="E75" s="42"/>
      <c r="F75" s="41"/>
      <c r="G75" s="41"/>
      <c r="H75" s="41"/>
      <c r="I75" s="41"/>
    </row>
    <row r="76" spans="1:9" s="4" customFormat="1" ht="30" customHeight="1" x14ac:dyDescent="0.25">
      <c r="A76" s="141" t="s">
        <v>96</v>
      </c>
      <c r="B76" s="142"/>
      <c r="C76" s="42">
        <v>2460</v>
      </c>
      <c r="D76" s="42">
        <v>863</v>
      </c>
      <c r="E76" s="42"/>
      <c r="F76" s="41"/>
      <c r="G76" s="41"/>
      <c r="H76" s="41"/>
      <c r="I76" s="41" t="s">
        <v>26</v>
      </c>
    </row>
    <row r="77" spans="1:9" s="4" customFormat="1" ht="17.25" customHeight="1" x14ac:dyDescent="0.25">
      <c r="A77" s="132" t="s">
        <v>97</v>
      </c>
      <c r="B77" s="132"/>
      <c r="C77" s="42">
        <v>2500</v>
      </c>
      <c r="D77" s="42" t="s">
        <v>26</v>
      </c>
      <c r="E77" s="42"/>
      <c r="F77" s="41">
        <f>F78</f>
        <v>0</v>
      </c>
      <c r="G77" s="41">
        <f t="shared" ref="G77:H77" si="5">G78</f>
        <v>0</v>
      </c>
      <c r="H77" s="41">
        <f t="shared" si="5"/>
        <v>0</v>
      </c>
      <c r="I77" s="41" t="s">
        <v>26</v>
      </c>
    </row>
    <row r="78" spans="1:9" s="4" customFormat="1" ht="47.25" customHeight="1" x14ac:dyDescent="0.25">
      <c r="A78" s="132" t="s">
        <v>98</v>
      </c>
      <c r="B78" s="132"/>
      <c r="C78" s="42">
        <v>2520</v>
      </c>
      <c r="D78" s="42">
        <v>831</v>
      </c>
      <c r="E78" s="42"/>
      <c r="F78" s="41"/>
      <c r="G78" s="41"/>
      <c r="H78" s="41"/>
      <c r="I78" s="41"/>
    </row>
    <row r="79" spans="1:9" s="4" customFormat="1" ht="20.25" customHeight="1" x14ac:dyDescent="0.25">
      <c r="A79" s="132" t="s">
        <v>99</v>
      </c>
      <c r="B79" s="132"/>
      <c r="C79" s="42">
        <v>2600</v>
      </c>
      <c r="D79" s="42" t="s">
        <v>26</v>
      </c>
      <c r="E79" s="42"/>
      <c r="F79" s="41">
        <f>F80+F81+F82+F92+F90</f>
        <v>1332447.93</v>
      </c>
      <c r="G79" s="41">
        <f>G80+G81+G82+G92+G90</f>
        <v>1318554.3700000001</v>
      </c>
      <c r="H79" s="41">
        <f>H80+H81+H82+H92+H90</f>
        <v>1413754.37</v>
      </c>
      <c r="I79" s="41"/>
    </row>
    <row r="80" spans="1:9" s="4" customFormat="1" ht="31.5" customHeight="1" x14ac:dyDescent="0.25">
      <c r="A80" s="132" t="s">
        <v>100</v>
      </c>
      <c r="B80" s="132"/>
      <c r="C80" s="42">
        <v>2610</v>
      </c>
      <c r="D80" s="42">
        <v>241</v>
      </c>
      <c r="E80" s="42"/>
      <c r="F80" s="41"/>
      <c r="G80" s="41"/>
      <c r="H80" s="41"/>
      <c r="I80" s="41"/>
    </row>
    <row r="81" spans="1:9" s="4" customFormat="1" ht="30.75" customHeight="1" x14ac:dyDescent="0.25">
      <c r="A81" s="132" t="s">
        <v>101</v>
      </c>
      <c r="B81" s="132"/>
      <c r="C81" s="42">
        <v>2630</v>
      </c>
      <c r="D81" s="42">
        <v>243</v>
      </c>
      <c r="E81" s="42"/>
      <c r="F81" s="41"/>
      <c r="G81" s="41"/>
      <c r="H81" s="41"/>
      <c r="I81" s="41"/>
    </row>
    <row r="82" spans="1:9" s="4" customFormat="1" ht="18" customHeight="1" x14ac:dyDescent="0.25">
      <c r="A82" s="132" t="s">
        <v>102</v>
      </c>
      <c r="B82" s="132"/>
      <c r="C82" s="42">
        <v>2640</v>
      </c>
      <c r="D82" s="42">
        <v>244</v>
      </c>
      <c r="E82" s="42"/>
      <c r="F82" s="41">
        <f>F84+F85+F86+F87+F88+F89</f>
        <v>1022039.99</v>
      </c>
      <c r="G82" s="41">
        <f>G84+G85+G86+G87+G88+G89</f>
        <v>1198554.3700000001</v>
      </c>
      <c r="H82" s="41">
        <f>H84+H85+H86+H87+H88+H89</f>
        <v>1293754.3700000001</v>
      </c>
      <c r="I82" s="41"/>
    </row>
    <row r="83" spans="1:9" s="4" customFormat="1" ht="15.75" customHeight="1" x14ac:dyDescent="0.25">
      <c r="A83" s="139" t="s">
        <v>103</v>
      </c>
      <c r="B83" s="140"/>
      <c r="C83" s="42"/>
      <c r="D83" s="43"/>
      <c r="E83" s="42"/>
      <c r="F83" s="41"/>
      <c r="G83" s="41"/>
      <c r="H83" s="41"/>
      <c r="I83" s="41"/>
    </row>
    <row r="84" spans="1:9" s="4" customFormat="1" ht="15.75" customHeight="1" x14ac:dyDescent="0.25">
      <c r="A84" s="135" t="s">
        <v>104</v>
      </c>
      <c r="B84" s="135"/>
      <c r="C84" s="42">
        <v>2641</v>
      </c>
      <c r="D84" s="43" t="s">
        <v>105</v>
      </c>
      <c r="E84" s="42"/>
      <c r="F84" s="41">
        <v>6899.76</v>
      </c>
      <c r="G84" s="41">
        <v>15000</v>
      </c>
      <c r="H84" s="41">
        <v>15000</v>
      </c>
      <c r="I84" s="41"/>
    </row>
    <row r="85" spans="1:9" s="4" customFormat="1" ht="16.5" customHeight="1" x14ac:dyDescent="0.25">
      <c r="A85" s="135" t="s">
        <v>106</v>
      </c>
      <c r="B85" s="135"/>
      <c r="C85" s="42">
        <v>2642</v>
      </c>
      <c r="D85" s="43" t="s">
        <v>105</v>
      </c>
      <c r="E85" s="42"/>
      <c r="F85" s="41">
        <f>45418.8</f>
        <v>45418.8</v>
      </c>
      <c r="G85" s="41">
        <v>33762.379999999997</v>
      </c>
      <c r="H85" s="41">
        <v>33762.379999999997</v>
      </c>
      <c r="I85" s="41"/>
    </row>
    <row r="86" spans="1:9" s="4" customFormat="1" ht="19.5" customHeight="1" x14ac:dyDescent="0.25">
      <c r="A86" s="136" t="s">
        <v>107</v>
      </c>
      <c r="B86" s="137"/>
      <c r="C86" s="44">
        <v>2643</v>
      </c>
      <c r="D86" s="43" t="s">
        <v>105</v>
      </c>
      <c r="E86" s="42"/>
      <c r="F86" s="41">
        <f>1000+10156.2+14448+51995.18+70700</f>
        <v>148299.38</v>
      </c>
      <c r="G86" s="41">
        <f>67985.59+70700</f>
        <v>138685.59</v>
      </c>
      <c r="H86" s="41">
        <f>67985.59+70700</f>
        <v>138685.59</v>
      </c>
      <c r="I86" s="41"/>
    </row>
    <row r="87" spans="1:9" s="4" customFormat="1" ht="17.25" customHeight="1" x14ac:dyDescent="0.25">
      <c r="A87" s="135" t="s">
        <v>108</v>
      </c>
      <c r="B87" s="135"/>
      <c r="C87" s="42">
        <v>2644</v>
      </c>
      <c r="D87" s="43" t="s">
        <v>105</v>
      </c>
      <c r="E87" s="42"/>
      <c r="F87" s="41">
        <f>10000+21108.48+89657.77+63523.2+14135.3</f>
        <v>198424.75</v>
      </c>
      <c r="G87" s="41">
        <f>215008.84+6035.06</f>
        <v>221043.9</v>
      </c>
      <c r="H87" s="41">
        <v>221043.9</v>
      </c>
      <c r="I87" s="41"/>
    </row>
    <row r="88" spans="1:9" s="4" customFormat="1" ht="19.5" customHeight="1" x14ac:dyDescent="0.25">
      <c r="A88" s="138" t="s">
        <v>109</v>
      </c>
      <c r="B88" s="138"/>
      <c r="C88" s="44">
        <v>2645</v>
      </c>
      <c r="D88" s="43" t="s">
        <v>105</v>
      </c>
      <c r="E88" s="42"/>
      <c r="F88" s="41">
        <f>32300+10000</f>
        <v>42300</v>
      </c>
      <c r="G88" s="41">
        <v>161800</v>
      </c>
      <c r="H88" s="41">
        <f>205400+10000</f>
        <v>215400</v>
      </c>
      <c r="I88" s="41"/>
    </row>
    <row r="89" spans="1:9" s="4" customFormat="1" ht="19.5" customHeight="1" x14ac:dyDescent="0.25">
      <c r="A89" s="138" t="s">
        <v>110</v>
      </c>
      <c r="B89" s="138"/>
      <c r="C89" s="44">
        <v>2646</v>
      </c>
      <c r="D89" s="43" t="s">
        <v>105</v>
      </c>
      <c r="E89" s="42"/>
      <c r="F89" s="41">
        <f>309299.35+11900+119169.22+46659.95+8018.13+500+85150.65</f>
        <v>580697.29999999993</v>
      </c>
      <c r="G89" s="41">
        <f>170362.5+457900</f>
        <v>628262.5</v>
      </c>
      <c r="H89" s="41">
        <f>170362.5+499500</f>
        <v>669862.5</v>
      </c>
      <c r="I89" s="41"/>
    </row>
    <row r="90" spans="1:9" s="4" customFormat="1" ht="15" customHeight="1" x14ac:dyDescent="0.25">
      <c r="A90" s="135" t="s">
        <v>111</v>
      </c>
      <c r="B90" s="135"/>
      <c r="C90" s="42">
        <v>2650</v>
      </c>
      <c r="D90" s="43" t="s">
        <v>112</v>
      </c>
      <c r="E90" s="42"/>
      <c r="F90" s="41">
        <f>F91</f>
        <v>310407.94</v>
      </c>
      <c r="G90" s="41">
        <f>G91</f>
        <v>120000</v>
      </c>
      <c r="H90" s="41">
        <f>H91</f>
        <v>120000</v>
      </c>
      <c r="I90" s="41"/>
    </row>
    <row r="91" spans="1:9" s="4" customFormat="1" ht="28.5" customHeight="1" x14ac:dyDescent="0.25">
      <c r="A91" s="132" t="s">
        <v>113</v>
      </c>
      <c r="B91" s="132"/>
      <c r="C91" s="42">
        <v>2651</v>
      </c>
      <c r="D91" s="42">
        <v>247</v>
      </c>
      <c r="E91" s="42"/>
      <c r="F91" s="41">
        <f>129429.18+180978.76</f>
        <v>310407.94</v>
      </c>
      <c r="G91" s="41">
        <v>120000</v>
      </c>
      <c r="H91" s="41">
        <v>120000</v>
      </c>
      <c r="I91" s="41">
        <f t="shared" ref="I91" si="6">I92+I93</f>
        <v>0</v>
      </c>
    </row>
    <row r="92" spans="1:9" s="4" customFormat="1" ht="31.5" customHeight="1" x14ac:dyDescent="0.25">
      <c r="A92" s="135" t="s">
        <v>114</v>
      </c>
      <c r="B92" s="135"/>
      <c r="C92" s="42">
        <v>2700</v>
      </c>
      <c r="D92" s="42">
        <v>400</v>
      </c>
      <c r="E92" s="42"/>
      <c r="F92" s="41">
        <f>F93+F94</f>
        <v>0</v>
      </c>
      <c r="G92" s="41">
        <f>G93+G94</f>
        <v>0</v>
      </c>
      <c r="H92" s="41">
        <f>H93+H94</f>
        <v>0</v>
      </c>
      <c r="I92" s="41"/>
    </row>
    <row r="93" spans="1:9" s="4" customFormat="1" ht="44.25" customHeight="1" x14ac:dyDescent="0.25">
      <c r="A93" s="132" t="s">
        <v>115</v>
      </c>
      <c r="B93" s="132"/>
      <c r="C93" s="42">
        <v>2710</v>
      </c>
      <c r="D93" s="42">
        <v>406</v>
      </c>
      <c r="E93" s="42"/>
      <c r="F93" s="41"/>
      <c r="G93" s="41"/>
      <c r="H93" s="41"/>
      <c r="I93" s="41"/>
    </row>
    <row r="94" spans="1:9" s="4" customFormat="1" ht="15" customHeight="1" x14ac:dyDescent="0.25">
      <c r="A94" s="132" t="s">
        <v>116</v>
      </c>
      <c r="B94" s="132"/>
      <c r="C94" s="42">
        <v>2720</v>
      </c>
      <c r="D94" s="42">
        <v>407</v>
      </c>
      <c r="E94" s="42"/>
      <c r="F94" s="41"/>
      <c r="G94" s="41"/>
      <c r="H94" s="41"/>
      <c r="I94" s="45" t="s">
        <v>26</v>
      </c>
    </row>
    <row r="95" spans="1:9" s="4" customFormat="1" ht="20.25" customHeight="1" x14ac:dyDescent="0.25">
      <c r="A95" s="133" t="s">
        <v>117</v>
      </c>
      <c r="B95" s="133"/>
      <c r="C95" s="46">
        <v>3000</v>
      </c>
      <c r="D95" s="46">
        <v>100</v>
      </c>
      <c r="E95" s="42"/>
      <c r="F95" s="45">
        <f>SUM(F96:F98)</f>
        <v>0</v>
      </c>
      <c r="G95" s="45">
        <f t="shared" ref="G95:H95" si="7">SUM(G96:G98)</f>
        <v>0</v>
      </c>
      <c r="H95" s="45">
        <f t="shared" si="7"/>
        <v>0</v>
      </c>
      <c r="I95" s="41" t="s">
        <v>26</v>
      </c>
    </row>
    <row r="96" spans="1:9" s="4" customFormat="1" ht="25.5" customHeight="1" x14ac:dyDescent="0.25">
      <c r="A96" s="132" t="s">
        <v>118</v>
      </c>
      <c r="B96" s="132"/>
      <c r="C96" s="42">
        <v>3010</v>
      </c>
      <c r="D96" s="42"/>
      <c r="E96" s="46"/>
      <c r="F96" s="41"/>
      <c r="G96" s="41"/>
      <c r="H96" s="41"/>
      <c r="I96" s="41" t="s">
        <v>26</v>
      </c>
    </row>
    <row r="97" spans="1:9" x14ac:dyDescent="0.25">
      <c r="A97" s="132" t="s">
        <v>119</v>
      </c>
      <c r="B97" s="132"/>
      <c r="C97" s="42">
        <v>3020</v>
      </c>
      <c r="D97" s="42"/>
      <c r="E97" s="42"/>
      <c r="F97" s="41"/>
      <c r="G97" s="41"/>
      <c r="H97" s="41"/>
      <c r="I97" s="41" t="s">
        <v>26</v>
      </c>
    </row>
    <row r="98" spans="1:9" x14ac:dyDescent="0.25">
      <c r="A98" s="132" t="s">
        <v>120</v>
      </c>
      <c r="B98" s="132"/>
      <c r="C98" s="42">
        <v>3030</v>
      </c>
      <c r="D98" s="42"/>
      <c r="E98" s="42"/>
      <c r="F98" s="41"/>
      <c r="G98" s="41"/>
      <c r="H98" s="41"/>
      <c r="I98" s="45" t="s">
        <v>26</v>
      </c>
    </row>
    <row r="99" spans="1:9" ht="23.25" customHeight="1" x14ac:dyDescent="0.25">
      <c r="A99" s="133" t="s">
        <v>121</v>
      </c>
      <c r="B99" s="133"/>
      <c r="C99" s="46">
        <v>4000</v>
      </c>
      <c r="D99" s="46" t="s">
        <v>26</v>
      </c>
      <c r="E99" s="42"/>
      <c r="F99" s="45">
        <f>F100</f>
        <v>0</v>
      </c>
      <c r="G99" s="45">
        <f t="shared" ref="G99:H99" si="8">G100</f>
        <v>0</v>
      </c>
      <c r="H99" s="45">
        <f t="shared" si="8"/>
        <v>0</v>
      </c>
      <c r="I99" s="41" t="s">
        <v>26</v>
      </c>
    </row>
    <row r="100" spans="1:9" ht="27.75" customHeight="1" x14ac:dyDescent="0.25">
      <c r="A100" s="132" t="s">
        <v>122</v>
      </c>
      <c r="B100" s="132"/>
      <c r="C100" s="42">
        <v>4010</v>
      </c>
      <c r="D100" s="42">
        <v>610</v>
      </c>
      <c r="E100" s="46"/>
      <c r="F100" s="41"/>
      <c r="G100" s="41"/>
      <c r="H100" s="41"/>
      <c r="I100" s="41"/>
    </row>
    <row r="101" spans="1:9" ht="12.75" customHeight="1" x14ac:dyDescent="0.25">
      <c r="A101" s="47"/>
      <c r="B101" s="48"/>
      <c r="C101" s="49"/>
      <c r="D101" s="49"/>
      <c r="E101" s="50"/>
      <c r="F101" s="51"/>
      <c r="G101" s="51"/>
      <c r="H101" s="51"/>
      <c r="I101" s="52"/>
    </row>
    <row r="102" spans="1:9" ht="21.75" customHeight="1" x14ac:dyDescent="0.25">
      <c r="A102" s="134" t="s">
        <v>123</v>
      </c>
      <c r="B102" s="134"/>
      <c r="C102" s="134"/>
      <c r="D102" s="134"/>
      <c r="E102" s="134"/>
      <c r="F102" s="134"/>
      <c r="G102" s="134"/>
      <c r="H102" s="134"/>
      <c r="I102" s="52"/>
    </row>
    <row r="103" spans="1:9" x14ac:dyDescent="0.25">
      <c r="A103" s="53"/>
      <c r="B103" s="52"/>
      <c r="C103" s="54"/>
      <c r="D103" s="54"/>
      <c r="E103" s="54"/>
      <c r="F103" s="54"/>
      <c r="G103" s="55"/>
      <c r="H103" s="54"/>
      <c r="I103" s="56"/>
    </row>
    <row r="104" spans="1:9" ht="14.25" customHeight="1" x14ac:dyDescent="0.25">
      <c r="A104" s="121" t="s">
        <v>124</v>
      </c>
      <c r="B104" s="121" t="s">
        <v>14</v>
      </c>
      <c r="C104" s="121" t="s">
        <v>125</v>
      </c>
      <c r="D104" s="121" t="s">
        <v>126</v>
      </c>
      <c r="E104" s="124" t="s">
        <v>16</v>
      </c>
      <c r="F104" s="127" t="s">
        <v>18</v>
      </c>
      <c r="G104" s="128"/>
      <c r="H104" s="128"/>
      <c r="I104" s="129"/>
    </row>
    <row r="105" spans="1:9" ht="22.5" customHeight="1" x14ac:dyDescent="0.25">
      <c r="A105" s="122"/>
      <c r="B105" s="122"/>
      <c r="C105" s="122"/>
      <c r="D105" s="122"/>
      <c r="E105" s="125"/>
      <c r="F105" s="121" t="s">
        <v>19</v>
      </c>
      <c r="G105" s="29" t="s">
        <v>179</v>
      </c>
      <c r="H105" s="29" t="s">
        <v>193</v>
      </c>
      <c r="I105" s="130" t="s">
        <v>20</v>
      </c>
    </row>
    <row r="106" spans="1:9" ht="44.25" customHeight="1" x14ac:dyDescent="0.25">
      <c r="A106" s="123"/>
      <c r="B106" s="123"/>
      <c r="C106" s="123"/>
      <c r="D106" s="123"/>
      <c r="E106" s="126"/>
      <c r="F106" s="123"/>
      <c r="G106" s="29" t="s">
        <v>22</v>
      </c>
      <c r="H106" s="29" t="s">
        <v>23</v>
      </c>
      <c r="I106" s="131"/>
    </row>
    <row r="107" spans="1:9" x14ac:dyDescent="0.25">
      <c r="A107" s="57">
        <v>1</v>
      </c>
      <c r="B107" s="29">
        <v>2</v>
      </c>
      <c r="C107" s="29">
        <v>3</v>
      </c>
      <c r="D107" s="29">
        <v>4</v>
      </c>
      <c r="E107" s="32" t="s">
        <v>127</v>
      </c>
      <c r="F107" s="29">
        <v>5</v>
      </c>
      <c r="G107" s="29">
        <v>6</v>
      </c>
      <c r="H107" s="29">
        <v>7</v>
      </c>
      <c r="I107" s="58">
        <v>8</v>
      </c>
    </row>
    <row r="108" spans="1:9" ht="22.5" customHeight="1" x14ac:dyDescent="0.25">
      <c r="A108" s="57">
        <v>1</v>
      </c>
      <c r="B108" s="59" t="s">
        <v>128</v>
      </c>
      <c r="C108" s="60">
        <v>26000</v>
      </c>
      <c r="D108" s="60" t="s">
        <v>26</v>
      </c>
      <c r="E108" s="61" t="s">
        <v>26</v>
      </c>
      <c r="F108" s="62">
        <f>F109+F110+F111+F115</f>
        <v>1332447.93</v>
      </c>
      <c r="G108" s="62">
        <f>G109+G110+G111+G115</f>
        <v>1318554.3700000001</v>
      </c>
      <c r="H108" s="62">
        <f t="shared" ref="H108" si="9">H109+H110+H111+H115</f>
        <v>1413754.37</v>
      </c>
      <c r="I108" s="39"/>
    </row>
    <row r="109" spans="1:9" ht="183.75" customHeight="1" x14ac:dyDescent="0.25">
      <c r="A109" s="63" t="s">
        <v>129</v>
      </c>
      <c r="B109" s="64" t="s">
        <v>182</v>
      </c>
      <c r="C109" s="65">
        <v>26100</v>
      </c>
      <c r="D109" s="40" t="s">
        <v>26</v>
      </c>
      <c r="E109" s="22" t="s">
        <v>26</v>
      </c>
      <c r="F109" s="39">
        <v>0</v>
      </c>
      <c r="G109" s="39"/>
      <c r="H109" s="39"/>
      <c r="I109" s="39"/>
    </row>
    <row r="110" spans="1:9" ht="43.5" customHeight="1" x14ac:dyDescent="0.25">
      <c r="A110" s="63" t="s">
        <v>130</v>
      </c>
      <c r="B110" s="64" t="s">
        <v>131</v>
      </c>
      <c r="C110" s="65">
        <v>26200</v>
      </c>
      <c r="D110" s="40" t="s">
        <v>26</v>
      </c>
      <c r="E110" s="22" t="s">
        <v>26</v>
      </c>
      <c r="F110" s="39"/>
      <c r="G110" s="39"/>
      <c r="H110" s="39"/>
      <c r="I110" s="39"/>
    </row>
    <row r="111" spans="1:9" ht="46.5" customHeight="1" x14ac:dyDescent="0.25">
      <c r="A111" s="63" t="s">
        <v>132</v>
      </c>
      <c r="B111" s="64" t="s">
        <v>133</v>
      </c>
      <c r="C111" s="65">
        <v>26300</v>
      </c>
      <c r="D111" s="40" t="s">
        <v>26</v>
      </c>
      <c r="E111" s="22" t="s">
        <v>26</v>
      </c>
      <c r="F111" s="39">
        <f>45418.8+10156.2+14448+51995.18+21108.48+63523.2+85150.65+129429.18+6899.76+46659.95+500+180978.76</f>
        <v>656268.16</v>
      </c>
      <c r="G111" s="39">
        <v>0</v>
      </c>
      <c r="H111" s="39">
        <v>0</v>
      </c>
      <c r="I111" s="39"/>
    </row>
    <row r="112" spans="1:9" ht="17.25" customHeight="1" x14ac:dyDescent="0.25">
      <c r="A112" s="66" t="s">
        <v>134</v>
      </c>
      <c r="B112" s="64" t="s">
        <v>135</v>
      </c>
      <c r="C112" s="65">
        <v>26310</v>
      </c>
      <c r="D112" s="40" t="s">
        <v>26</v>
      </c>
      <c r="E112" s="22" t="s">
        <v>26</v>
      </c>
      <c r="F112" s="39">
        <f>F111</f>
        <v>656268.16</v>
      </c>
      <c r="G112" s="39"/>
      <c r="H112" s="39"/>
      <c r="I112" s="39"/>
    </row>
    <row r="113" spans="1:13" ht="16.5" customHeight="1" x14ac:dyDescent="0.25">
      <c r="A113" s="66"/>
      <c r="B113" s="64" t="s">
        <v>136</v>
      </c>
      <c r="C113" s="65" t="s">
        <v>137</v>
      </c>
      <c r="D113" s="40" t="s">
        <v>26</v>
      </c>
      <c r="E113" s="22">
        <v>150</v>
      </c>
      <c r="F113" s="39"/>
      <c r="G113" s="39"/>
      <c r="H113" s="39"/>
      <c r="I113" s="39"/>
    </row>
    <row r="114" spans="1:13" ht="20.25" customHeight="1" x14ac:dyDescent="0.25">
      <c r="A114" s="66" t="s">
        <v>138</v>
      </c>
      <c r="B114" s="64" t="s">
        <v>139</v>
      </c>
      <c r="C114" s="65">
        <v>26320</v>
      </c>
      <c r="D114" s="40" t="s">
        <v>26</v>
      </c>
      <c r="E114" s="22" t="s">
        <v>26</v>
      </c>
      <c r="F114" s="39"/>
      <c r="G114" s="39"/>
      <c r="H114" s="39"/>
      <c r="I114" s="39"/>
      <c r="K114" s="21"/>
      <c r="L114" s="21"/>
      <c r="M114" s="85"/>
    </row>
    <row r="115" spans="1:13" ht="45" customHeight="1" x14ac:dyDescent="0.25">
      <c r="A115" s="63" t="s">
        <v>140</v>
      </c>
      <c r="B115" s="64" t="s">
        <v>141</v>
      </c>
      <c r="C115" s="65">
        <v>26400</v>
      </c>
      <c r="D115" s="40" t="s">
        <v>26</v>
      </c>
      <c r="E115" s="22" t="s">
        <v>26</v>
      </c>
      <c r="F115" s="39">
        <f>F116+F119+F123+F125+F128</f>
        <v>676179.7699999999</v>
      </c>
      <c r="G115" s="39">
        <f>G116+G119+G123+G125+G128</f>
        <v>1318554.3700000001</v>
      </c>
      <c r="H115" s="39">
        <f>H116+H119+H123+H125+H128</f>
        <v>1413754.37</v>
      </c>
      <c r="I115" s="39"/>
      <c r="J115" s="6"/>
      <c r="K115" s="21"/>
      <c r="L115" s="86"/>
      <c r="M115" s="86"/>
    </row>
    <row r="116" spans="1:13" ht="44.25" customHeight="1" x14ac:dyDescent="0.25">
      <c r="A116" s="66" t="s">
        <v>142</v>
      </c>
      <c r="B116" s="64" t="s">
        <v>143</v>
      </c>
      <c r="C116" s="65">
        <v>26410</v>
      </c>
      <c r="D116" s="40" t="s">
        <v>26</v>
      </c>
      <c r="E116" s="22" t="s">
        <v>26</v>
      </c>
      <c r="F116" s="39">
        <f>F117+F118</f>
        <v>445992.41999999993</v>
      </c>
      <c r="G116" s="39">
        <f>G117+G118</f>
        <v>925691.87000000011</v>
      </c>
      <c r="H116" s="39">
        <f t="shared" ref="H116" si="10">H117+H118</f>
        <v>967291.87000000011</v>
      </c>
      <c r="I116" s="39"/>
      <c r="K116" s="21"/>
      <c r="L116" s="86"/>
      <c r="M116" s="86"/>
    </row>
    <row r="117" spans="1:13" ht="29.25" customHeight="1" x14ac:dyDescent="0.25">
      <c r="A117" s="66" t="s">
        <v>144</v>
      </c>
      <c r="B117" s="64" t="s">
        <v>145</v>
      </c>
      <c r="C117" s="65">
        <v>26411</v>
      </c>
      <c r="D117" s="40" t="s">
        <v>26</v>
      </c>
      <c r="E117" s="22" t="s">
        <v>26</v>
      </c>
      <c r="F117" s="39">
        <f>F79-F111-F119-F128-F109</f>
        <v>445992.41999999993</v>
      </c>
      <c r="G117" s="39">
        <f>G79-G111-G119-G128</f>
        <v>925691.87000000011</v>
      </c>
      <c r="H117" s="39">
        <f>H79-H111-H119-H128</f>
        <v>967291.87000000011</v>
      </c>
      <c r="I117" s="39"/>
      <c r="K117" s="21"/>
      <c r="L117" s="86"/>
      <c r="M117" s="86"/>
    </row>
    <row r="118" spans="1:13" ht="22.5" customHeight="1" x14ac:dyDescent="0.25">
      <c r="A118" s="66" t="s">
        <v>146</v>
      </c>
      <c r="B118" s="64" t="s">
        <v>147</v>
      </c>
      <c r="C118" s="40">
        <v>26412</v>
      </c>
      <c r="D118" s="40" t="s">
        <v>26</v>
      </c>
      <c r="E118" s="22" t="s">
        <v>26</v>
      </c>
      <c r="F118" s="39"/>
      <c r="G118" s="39"/>
      <c r="H118" s="39"/>
      <c r="I118" s="39"/>
      <c r="K118" s="21"/>
      <c r="L118" s="86"/>
      <c r="M118" s="86"/>
    </row>
    <row r="119" spans="1:13" ht="45.75" customHeight="1" x14ac:dyDescent="0.25">
      <c r="A119" s="66" t="s">
        <v>148</v>
      </c>
      <c r="B119" s="64" t="s">
        <v>149</v>
      </c>
      <c r="C119" s="65">
        <v>26420</v>
      </c>
      <c r="D119" s="40" t="s">
        <v>26</v>
      </c>
      <c r="E119" s="22" t="s">
        <v>26</v>
      </c>
      <c r="F119" s="39">
        <f>F120+F122</f>
        <v>103000</v>
      </c>
      <c r="G119" s="39">
        <f>G120+G122</f>
        <v>222500</v>
      </c>
      <c r="H119" s="39">
        <f t="shared" ref="H119" si="11">H120+H122</f>
        <v>276100</v>
      </c>
      <c r="I119" s="39"/>
      <c r="K119" s="21"/>
      <c r="L119" s="86"/>
      <c r="M119" s="87"/>
    </row>
    <row r="120" spans="1:13" ht="27.75" customHeight="1" x14ac:dyDescent="0.25">
      <c r="A120" s="66" t="s">
        <v>150</v>
      </c>
      <c r="B120" s="64" t="s">
        <v>145</v>
      </c>
      <c r="C120" s="65">
        <v>26421</v>
      </c>
      <c r="D120" s="40" t="s">
        <v>26</v>
      </c>
      <c r="E120" s="22" t="s">
        <v>26</v>
      </c>
      <c r="F120" s="39">
        <f>F35-F37-F38-F36</f>
        <v>103000</v>
      </c>
      <c r="G120" s="39">
        <f>G35-G37-G38-G36</f>
        <v>222500</v>
      </c>
      <c r="H120" s="39">
        <f>H35-H37-H38-H36</f>
        <v>276100</v>
      </c>
      <c r="I120" s="39"/>
      <c r="K120" s="21"/>
      <c r="L120" s="86"/>
      <c r="M120" s="87"/>
    </row>
    <row r="121" spans="1:13" x14ac:dyDescent="0.25">
      <c r="A121" s="66"/>
      <c r="B121" s="64" t="s">
        <v>136</v>
      </c>
      <c r="C121" s="65" t="s">
        <v>151</v>
      </c>
      <c r="D121" s="40" t="s">
        <v>26</v>
      </c>
      <c r="E121" s="22">
        <v>150</v>
      </c>
      <c r="F121" s="39">
        <f>F120</f>
        <v>103000</v>
      </c>
      <c r="G121" s="39">
        <f>G120</f>
        <v>222500</v>
      </c>
      <c r="H121" s="39">
        <f>H120</f>
        <v>276100</v>
      </c>
      <c r="I121" s="39"/>
      <c r="K121" s="21"/>
      <c r="L121" s="87"/>
      <c r="M121" s="88"/>
    </row>
    <row r="122" spans="1:13" ht="18" customHeight="1" x14ac:dyDescent="0.25">
      <c r="A122" s="67" t="s">
        <v>152</v>
      </c>
      <c r="B122" s="64" t="s">
        <v>147</v>
      </c>
      <c r="C122" s="65">
        <v>26422</v>
      </c>
      <c r="D122" s="40" t="s">
        <v>26</v>
      </c>
      <c r="E122" s="22" t="s">
        <v>26</v>
      </c>
      <c r="F122" s="39"/>
      <c r="G122" s="39"/>
      <c r="H122" s="39"/>
      <c r="I122" s="39"/>
      <c r="K122" s="21"/>
      <c r="L122" s="21"/>
      <c r="M122" s="21"/>
    </row>
    <row r="123" spans="1:13" ht="28.5" customHeight="1" x14ac:dyDescent="0.25">
      <c r="A123" s="66" t="s">
        <v>153</v>
      </c>
      <c r="B123" s="64" t="s">
        <v>154</v>
      </c>
      <c r="C123" s="65">
        <v>26430</v>
      </c>
      <c r="D123" s="40" t="s">
        <v>26</v>
      </c>
      <c r="E123" s="22" t="s">
        <v>26</v>
      </c>
      <c r="F123" s="39"/>
      <c r="G123" s="39"/>
      <c r="H123" s="39"/>
      <c r="I123" s="39"/>
      <c r="K123" s="21"/>
      <c r="L123" s="21"/>
      <c r="M123" s="21"/>
    </row>
    <row r="124" spans="1:13" ht="16.5" customHeight="1" x14ac:dyDescent="0.25">
      <c r="A124" s="66"/>
      <c r="B124" s="64" t="s">
        <v>136</v>
      </c>
      <c r="C124" s="65" t="s">
        <v>155</v>
      </c>
      <c r="D124" s="40" t="s">
        <v>26</v>
      </c>
      <c r="E124" s="22">
        <v>150</v>
      </c>
      <c r="F124" s="39"/>
      <c r="G124" s="39"/>
      <c r="H124" s="39"/>
      <c r="I124" s="39">
        <f t="shared" ref="G124:I125" si="12">I125+I126</f>
        <v>0</v>
      </c>
    </row>
    <row r="125" spans="1:13" ht="16.5" customHeight="1" x14ac:dyDescent="0.25">
      <c r="A125" s="66" t="s">
        <v>156</v>
      </c>
      <c r="B125" s="64" t="s">
        <v>157</v>
      </c>
      <c r="C125" s="65">
        <v>26440</v>
      </c>
      <c r="D125" s="40" t="s">
        <v>26</v>
      </c>
      <c r="E125" s="22" t="s">
        <v>26</v>
      </c>
      <c r="F125" s="39">
        <f>F126+F127</f>
        <v>0</v>
      </c>
      <c r="G125" s="39">
        <f t="shared" si="12"/>
        <v>0</v>
      </c>
      <c r="H125" s="39">
        <f t="shared" si="12"/>
        <v>0</v>
      </c>
      <c r="I125" s="39"/>
    </row>
    <row r="126" spans="1:13" ht="29.25" customHeight="1" x14ac:dyDescent="0.25">
      <c r="A126" s="66" t="s">
        <v>158</v>
      </c>
      <c r="B126" s="64" t="s">
        <v>145</v>
      </c>
      <c r="C126" s="65">
        <v>26441</v>
      </c>
      <c r="D126" s="40" t="s">
        <v>26</v>
      </c>
      <c r="E126" s="22" t="s">
        <v>26</v>
      </c>
      <c r="F126" s="39"/>
      <c r="G126" s="39"/>
      <c r="H126" s="39"/>
      <c r="I126" s="39"/>
    </row>
    <row r="127" spans="1:13" ht="18.75" customHeight="1" x14ac:dyDescent="0.25">
      <c r="A127" s="67" t="s">
        <v>159</v>
      </c>
      <c r="B127" s="64" t="s">
        <v>147</v>
      </c>
      <c r="C127" s="65">
        <v>26442</v>
      </c>
      <c r="D127" s="40" t="s">
        <v>26</v>
      </c>
      <c r="E127" s="22" t="s">
        <v>26</v>
      </c>
      <c r="F127" s="39"/>
      <c r="G127" s="39"/>
      <c r="H127" s="39"/>
      <c r="I127" s="39">
        <f t="shared" ref="G127:I128" si="13">I128+I130</f>
        <v>0</v>
      </c>
    </row>
    <row r="128" spans="1:13" ht="18.75" customHeight="1" x14ac:dyDescent="0.25">
      <c r="A128" s="67" t="s">
        <v>160</v>
      </c>
      <c r="B128" s="64" t="s">
        <v>161</v>
      </c>
      <c r="C128" s="65">
        <v>26450</v>
      </c>
      <c r="D128" s="40" t="s">
        <v>26</v>
      </c>
      <c r="E128" s="22" t="s">
        <v>26</v>
      </c>
      <c r="F128" s="39">
        <f>F129+F131</f>
        <v>127187.35</v>
      </c>
      <c r="G128" s="39">
        <f t="shared" si="13"/>
        <v>170362.5</v>
      </c>
      <c r="H128" s="39">
        <f t="shared" si="13"/>
        <v>170362.5</v>
      </c>
      <c r="I128" s="39"/>
    </row>
    <row r="129" spans="1:10" ht="25.5" customHeight="1" x14ac:dyDescent="0.25">
      <c r="A129" s="67" t="s">
        <v>162</v>
      </c>
      <c r="B129" s="64" t="s">
        <v>145</v>
      </c>
      <c r="C129" s="65">
        <v>26451</v>
      </c>
      <c r="D129" s="40" t="s">
        <v>26</v>
      </c>
      <c r="E129" s="22" t="s">
        <v>26</v>
      </c>
      <c r="F129" s="39">
        <f>119169.22+8018.13</f>
        <v>127187.35</v>
      </c>
      <c r="G129" s="39">
        <v>170362.5</v>
      </c>
      <c r="H129" s="39">
        <v>170362.5</v>
      </c>
      <c r="I129" s="39"/>
    </row>
    <row r="130" spans="1:10" ht="13.5" customHeight="1" x14ac:dyDescent="0.25">
      <c r="A130" s="67"/>
      <c r="B130" s="64" t="s">
        <v>136</v>
      </c>
      <c r="C130" s="65" t="s">
        <v>163</v>
      </c>
      <c r="D130" s="40" t="s">
        <v>26</v>
      </c>
      <c r="E130" s="22">
        <v>150</v>
      </c>
      <c r="F130" s="39"/>
      <c r="G130" s="39"/>
      <c r="H130" s="39"/>
      <c r="I130" s="39"/>
    </row>
    <row r="131" spans="1:10" ht="16.5" customHeight="1" x14ac:dyDescent="0.25">
      <c r="A131" s="67" t="s">
        <v>164</v>
      </c>
      <c r="B131" s="64" t="s">
        <v>147</v>
      </c>
      <c r="C131" s="65">
        <v>26452</v>
      </c>
      <c r="D131" s="40" t="s">
        <v>26</v>
      </c>
      <c r="E131" s="22" t="s">
        <v>26</v>
      </c>
      <c r="F131" s="39"/>
      <c r="G131" s="39"/>
      <c r="H131" s="39"/>
      <c r="I131" s="39">
        <f>I132</f>
        <v>0</v>
      </c>
    </row>
    <row r="132" spans="1:10" ht="44.25" customHeight="1" x14ac:dyDescent="0.25">
      <c r="A132" s="67" t="s">
        <v>165</v>
      </c>
      <c r="B132" s="64" t="s">
        <v>166</v>
      </c>
      <c r="C132" s="65">
        <v>26500</v>
      </c>
      <c r="D132" s="40" t="s">
        <v>26</v>
      </c>
      <c r="E132" s="22" t="s">
        <v>26</v>
      </c>
      <c r="F132" s="39">
        <f>F134+F135+F136</f>
        <v>676179.7699999999</v>
      </c>
      <c r="G132" s="39">
        <f>G134+G135+G136</f>
        <v>1318554.3700000001</v>
      </c>
      <c r="H132" s="39">
        <f>H134+H135+H136</f>
        <v>1413754.37</v>
      </c>
      <c r="I132" s="39"/>
    </row>
    <row r="133" spans="1:10" ht="19.5" customHeight="1" x14ac:dyDescent="0.25">
      <c r="A133" s="67"/>
      <c r="B133" s="64" t="s">
        <v>167</v>
      </c>
      <c r="C133" s="65">
        <v>26510</v>
      </c>
      <c r="D133" s="40" t="s">
        <v>26</v>
      </c>
      <c r="E133" s="22" t="s">
        <v>26</v>
      </c>
      <c r="F133" s="39"/>
      <c r="G133" s="39"/>
      <c r="H133" s="39"/>
      <c r="I133" s="39"/>
    </row>
    <row r="134" spans="1:10" ht="17.25" customHeight="1" x14ac:dyDescent="0.25">
      <c r="A134" s="67" t="s">
        <v>168</v>
      </c>
      <c r="B134" s="64" t="s">
        <v>169</v>
      </c>
      <c r="C134" s="65">
        <v>26520</v>
      </c>
      <c r="D134" s="40">
        <v>2023</v>
      </c>
      <c r="E134" s="22"/>
      <c r="F134" s="39">
        <f>F115</f>
        <v>676179.7699999999</v>
      </c>
      <c r="G134" s="39"/>
      <c r="H134" s="39"/>
      <c r="I134" s="39"/>
    </row>
    <row r="135" spans="1:10" ht="14.25" customHeight="1" x14ac:dyDescent="0.25">
      <c r="A135" s="67" t="s">
        <v>170</v>
      </c>
      <c r="B135" s="64" t="s">
        <v>169</v>
      </c>
      <c r="C135" s="65">
        <v>26530</v>
      </c>
      <c r="D135" s="40">
        <v>2024</v>
      </c>
      <c r="E135" s="22"/>
      <c r="F135" s="39"/>
      <c r="G135" s="39">
        <f>G115-G134-G136</f>
        <v>1318554.3700000001</v>
      </c>
      <c r="H135" s="39"/>
      <c r="I135" s="39"/>
    </row>
    <row r="136" spans="1:10" ht="15" customHeight="1" x14ac:dyDescent="0.25">
      <c r="A136" s="67" t="s">
        <v>171</v>
      </c>
      <c r="B136" s="64" t="s">
        <v>169</v>
      </c>
      <c r="C136" s="65">
        <v>26540</v>
      </c>
      <c r="D136" s="40">
        <v>2025</v>
      </c>
      <c r="E136" s="22"/>
      <c r="F136" s="39"/>
      <c r="G136" s="39"/>
      <c r="H136" s="39">
        <f>H115</f>
        <v>1413754.37</v>
      </c>
      <c r="I136" s="39">
        <f>I137+I138</f>
        <v>0</v>
      </c>
    </row>
    <row r="137" spans="1:10" ht="44.25" customHeight="1" x14ac:dyDescent="0.25">
      <c r="A137" s="67" t="s">
        <v>172</v>
      </c>
      <c r="B137" s="64" t="s">
        <v>173</v>
      </c>
      <c r="C137" s="65">
        <v>26600</v>
      </c>
      <c r="D137" s="40" t="s">
        <v>26</v>
      </c>
      <c r="E137" s="22" t="s">
        <v>26</v>
      </c>
      <c r="F137" s="39">
        <f>F138+F139</f>
        <v>0</v>
      </c>
      <c r="G137" s="39">
        <f>G138+G139</f>
        <v>0</v>
      </c>
      <c r="H137" s="39">
        <f>H138+H139</f>
        <v>0</v>
      </c>
      <c r="I137" s="39"/>
    </row>
    <row r="138" spans="1:10" x14ac:dyDescent="0.25">
      <c r="A138" s="67"/>
      <c r="B138" s="64" t="s">
        <v>167</v>
      </c>
      <c r="C138" s="65">
        <v>26610</v>
      </c>
      <c r="D138" s="40"/>
      <c r="E138" s="22"/>
      <c r="F138" s="39"/>
      <c r="G138" s="39"/>
      <c r="H138" s="39"/>
      <c r="I138" s="39"/>
    </row>
    <row r="139" spans="1:10" x14ac:dyDescent="0.25">
      <c r="A139" s="67"/>
      <c r="B139" s="64"/>
      <c r="C139" s="40"/>
      <c r="D139" s="40"/>
      <c r="E139" s="22"/>
      <c r="F139" s="39"/>
      <c r="G139" s="39"/>
      <c r="H139" s="39"/>
      <c r="I139" s="68"/>
    </row>
    <row r="140" spans="1:10" x14ac:dyDescent="0.25">
      <c r="A140" s="69"/>
      <c r="B140" s="70"/>
      <c r="C140" s="71"/>
      <c r="D140" s="71"/>
      <c r="E140" s="71"/>
      <c r="F140" s="71"/>
      <c r="G140" s="71"/>
      <c r="H140" s="71"/>
      <c r="I140" s="19"/>
    </row>
    <row r="141" spans="1:10" ht="18.75" x14ac:dyDescent="0.3">
      <c r="A141" s="72" t="s">
        <v>185</v>
      </c>
      <c r="B141" s="73"/>
      <c r="C141" s="73"/>
      <c r="D141" s="74"/>
      <c r="E141" s="21"/>
      <c r="F141" s="75" t="s">
        <v>186</v>
      </c>
      <c r="G141" s="75"/>
      <c r="H141" s="19"/>
      <c r="I141" s="19"/>
    </row>
    <row r="142" spans="1:10" ht="18.75" x14ac:dyDescent="0.25">
      <c r="A142" s="76"/>
      <c r="B142" s="76"/>
      <c r="C142" s="76"/>
      <c r="D142" s="77" t="s">
        <v>174</v>
      </c>
      <c r="E142" s="19"/>
      <c r="F142" s="78" t="s">
        <v>175</v>
      </c>
      <c r="G142" s="79"/>
      <c r="H142" s="19"/>
      <c r="I142" s="19"/>
      <c r="J142"/>
    </row>
    <row r="143" spans="1:10" ht="18.75" x14ac:dyDescent="0.3">
      <c r="A143" s="72"/>
      <c r="B143" s="73"/>
      <c r="C143" s="73"/>
      <c r="D143" s="74"/>
      <c r="E143" s="21"/>
      <c r="F143" s="75" t="s">
        <v>176</v>
      </c>
      <c r="G143" s="75"/>
      <c r="H143" s="19"/>
      <c r="I143" s="19"/>
      <c r="J143"/>
    </row>
    <row r="144" spans="1:10" ht="18.75" x14ac:dyDescent="0.25">
      <c r="A144" s="76" t="s">
        <v>177</v>
      </c>
      <c r="B144" s="76"/>
      <c r="C144" s="76"/>
      <c r="D144" s="77" t="s">
        <v>174</v>
      </c>
      <c r="E144" s="19"/>
      <c r="F144" s="78" t="s">
        <v>175</v>
      </c>
      <c r="G144" s="79"/>
      <c r="H144" s="19"/>
      <c r="I144" s="19"/>
      <c r="J144"/>
    </row>
    <row r="145" spans="1:10" ht="18.75" x14ac:dyDescent="0.25">
      <c r="A145" s="76"/>
      <c r="B145" s="76"/>
      <c r="C145" s="76"/>
      <c r="D145" s="77"/>
      <c r="E145" s="19"/>
      <c r="F145" s="78"/>
      <c r="G145" s="78"/>
      <c r="H145" s="19"/>
      <c r="I145" s="19"/>
      <c r="J145"/>
    </row>
    <row r="146" spans="1:10" ht="17.25" customHeight="1" x14ac:dyDescent="0.3">
      <c r="A146" s="80" t="s">
        <v>187</v>
      </c>
      <c r="B146" s="80"/>
      <c r="C146" s="80"/>
      <c r="D146" s="80"/>
      <c r="E146" s="81"/>
      <c r="F146" s="81"/>
      <c r="G146" s="73"/>
      <c r="H146" s="73"/>
      <c r="I146" s="73"/>
    </row>
    <row r="147" spans="1:10" ht="18.75" hidden="1" x14ac:dyDescent="0.3">
      <c r="A147" s="120" t="s">
        <v>178</v>
      </c>
      <c r="B147" s="120"/>
      <c r="C147" s="120"/>
      <c r="D147" s="120"/>
      <c r="E147" s="120"/>
      <c r="F147" s="7"/>
      <c r="G147" s="7"/>
      <c r="H147" s="7"/>
      <c r="I147" s="5"/>
    </row>
    <row r="148" spans="1:10" hidden="1" x14ac:dyDescent="0.25">
      <c r="C148" s="5"/>
      <c r="D148" s="5"/>
      <c r="E148" s="5"/>
      <c r="F148" s="5"/>
      <c r="G148" s="5"/>
      <c r="H148" s="5"/>
      <c r="I148" s="5"/>
    </row>
    <row r="149" spans="1:10" hidden="1" x14ac:dyDescent="0.25">
      <c r="C149" s="5"/>
      <c r="D149" s="5"/>
      <c r="E149" s="5"/>
      <c r="F149" s="5"/>
      <c r="G149" s="5"/>
      <c r="H149" s="5"/>
      <c r="I149" s="5"/>
    </row>
    <row r="150" spans="1:10" hidden="1" x14ac:dyDescent="0.25">
      <c r="C150" s="5"/>
      <c r="D150" s="5"/>
      <c r="E150" s="5"/>
      <c r="F150" s="5"/>
      <c r="G150" s="5"/>
      <c r="H150" s="5"/>
      <c r="I150" s="5"/>
    </row>
    <row r="151" spans="1:10" hidden="1" x14ac:dyDescent="0.25">
      <c r="C151" s="5"/>
      <c r="D151" s="5"/>
      <c r="E151" s="5"/>
      <c r="F151" s="5"/>
      <c r="G151" s="5"/>
      <c r="H151" s="5"/>
      <c r="I151" s="5"/>
    </row>
    <row r="152" spans="1:10" hidden="1" x14ac:dyDescent="0.25">
      <c r="C152" s="5"/>
      <c r="D152" s="5"/>
      <c r="E152" s="5"/>
      <c r="F152" s="5"/>
      <c r="G152" s="5"/>
      <c r="H152" s="5"/>
      <c r="I152" s="5"/>
    </row>
    <row r="153" spans="1:10" hidden="1" x14ac:dyDescent="0.25">
      <c r="C153" s="5"/>
      <c r="D153" s="5"/>
      <c r="E153" s="5"/>
      <c r="F153" s="5"/>
      <c r="G153" s="5"/>
      <c r="H153" s="5"/>
      <c r="I153" s="5"/>
    </row>
    <row r="154" spans="1:10" hidden="1" x14ac:dyDescent="0.25">
      <c r="C154" s="5"/>
      <c r="D154" s="5"/>
      <c r="E154" s="5"/>
      <c r="F154" s="5"/>
      <c r="G154" s="5"/>
      <c r="H154" s="5"/>
      <c r="I154" s="5"/>
    </row>
    <row r="155" spans="1:10" hidden="1" x14ac:dyDescent="0.25">
      <c r="C155" s="5"/>
      <c r="D155" s="5"/>
      <c r="E155" s="5"/>
      <c r="F155" s="5"/>
      <c r="G155" s="5"/>
      <c r="H155" s="5"/>
      <c r="I155" s="5"/>
    </row>
    <row r="156" spans="1:10" hidden="1" x14ac:dyDescent="0.25">
      <c r="C156" s="5"/>
      <c r="D156" s="5"/>
      <c r="E156" s="5"/>
      <c r="F156" s="5"/>
      <c r="G156" s="5"/>
      <c r="H156" s="5"/>
      <c r="I156" s="5"/>
    </row>
    <row r="157" spans="1:10" hidden="1" x14ac:dyDescent="0.25">
      <c r="C157" s="5"/>
      <c r="D157" s="5"/>
      <c r="E157" s="5"/>
      <c r="F157" s="5"/>
      <c r="G157" s="5"/>
      <c r="H157" s="5"/>
      <c r="I157" s="5"/>
    </row>
    <row r="158" spans="1:10" hidden="1" x14ac:dyDescent="0.25">
      <c r="C158" s="5"/>
      <c r="D158" s="5"/>
      <c r="E158" s="5"/>
      <c r="F158" s="5"/>
      <c r="G158" s="5"/>
      <c r="H158" s="5"/>
      <c r="I158" s="5"/>
    </row>
    <row r="159" spans="1:10" hidden="1" x14ac:dyDescent="0.25">
      <c r="C159" s="5"/>
      <c r="D159" s="5"/>
      <c r="E159" s="5"/>
      <c r="F159" s="5"/>
      <c r="G159" s="5"/>
      <c r="H159" s="5"/>
      <c r="I159" s="5"/>
    </row>
    <row r="160" spans="1:10" hidden="1" x14ac:dyDescent="0.25">
      <c r="C160" s="5"/>
      <c r="D160" s="5"/>
      <c r="E160" s="5"/>
      <c r="F160" s="5"/>
      <c r="G160" s="5"/>
      <c r="H160" s="5"/>
      <c r="I160" s="5"/>
    </row>
    <row r="161" spans="3:9" hidden="1" x14ac:dyDescent="0.25">
      <c r="C161" s="5"/>
      <c r="D161" s="5"/>
      <c r="E161" s="5"/>
      <c r="F161" s="5"/>
      <c r="G161" s="5"/>
      <c r="H161" s="5"/>
      <c r="I161" s="5"/>
    </row>
    <row r="162" spans="3:9" x14ac:dyDescent="0.25">
      <c r="C162" s="5"/>
      <c r="D162" s="5"/>
      <c r="E162" s="5"/>
      <c r="F162" s="5"/>
      <c r="G162" s="5"/>
      <c r="H162" s="5"/>
    </row>
    <row r="163" spans="3:9" x14ac:dyDescent="0.25">
      <c r="E163" s="5"/>
    </row>
  </sheetData>
  <mergeCells count="101">
    <mergeCell ref="B13:F14"/>
    <mergeCell ref="A24:B24"/>
    <mergeCell ref="A25:B25"/>
    <mergeCell ref="A26:B26"/>
    <mergeCell ref="A36:B36"/>
    <mergeCell ref="F2:I3"/>
    <mergeCell ref="F5:I5"/>
    <mergeCell ref="B8:I8"/>
    <mergeCell ref="B9:I9"/>
    <mergeCell ref="B11:H11"/>
    <mergeCell ref="A27:B27"/>
    <mergeCell ref="A28:B28"/>
    <mergeCell ref="A29:B29"/>
    <mergeCell ref="B16:F17"/>
    <mergeCell ref="B20:I20"/>
    <mergeCell ref="A21:B23"/>
    <mergeCell ref="C21:C23"/>
    <mergeCell ref="D21:D23"/>
    <mergeCell ref="E21:E23"/>
    <mergeCell ref="F21:I21"/>
    <mergeCell ref="I22:I23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51:B51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75:B75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87:B87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99:B99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147:E147"/>
    <mergeCell ref="A100:B100"/>
    <mergeCell ref="A102:H102"/>
    <mergeCell ref="A104:A106"/>
    <mergeCell ref="B104:B106"/>
    <mergeCell ref="C104:C106"/>
    <mergeCell ref="D104:D106"/>
    <mergeCell ref="E104:E106"/>
    <mergeCell ref="F104:I104"/>
    <mergeCell ref="F105:F106"/>
    <mergeCell ref="I105:I106"/>
  </mergeCells>
  <pageMargins left="0.47244094488188981" right="1.1811023622047245" top="0.59055118110236227" bottom="0.39370078740157483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20.10.2023</vt:lpstr>
      <vt:lpstr>25.08.2023</vt:lpstr>
      <vt:lpstr>Сентябрь</vt:lpstr>
      <vt:lpstr>Август</vt:lpstr>
      <vt:lpstr>Июнь</vt:lpstr>
      <vt:lpstr>Апрель</vt:lpstr>
      <vt:lpstr>Февраль</vt:lpstr>
      <vt:lpstr>Январь</vt:lpstr>
      <vt:lpstr>'20.10.2023'!Область_печати</vt:lpstr>
      <vt:lpstr>'25.08.2023'!Область_печати</vt:lpstr>
      <vt:lpstr>Август!Область_печати</vt:lpstr>
      <vt:lpstr>Апрель!Область_печати</vt:lpstr>
      <vt:lpstr>Июнь!Область_печати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Admin</cp:lastModifiedBy>
  <cp:lastPrinted>2022-12-22T06:20:40Z</cp:lastPrinted>
  <dcterms:created xsi:type="dcterms:W3CDTF">2022-01-26T20:05:57Z</dcterms:created>
  <dcterms:modified xsi:type="dcterms:W3CDTF">2023-10-17T22:46:05Z</dcterms:modified>
</cp:coreProperties>
</file>